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00" windowWidth="12150" windowHeight="9090"/>
  </bookViews>
  <sheets>
    <sheet name="4metatar" sheetId="1" r:id="rId1"/>
  </sheets>
  <externalReferences>
    <externalReference r:id="rId2"/>
  </externalReferences>
  <definedNames>
    <definedName name="ANSWERS">'4metatar'!$M$68:$Z$142</definedName>
    <definedName name="HEADER">'4metatar'!$A$4:$J$12</definedName>
    <definedName name="HELP_FILE">'4metatar'!$AE$1:$AL$18</definedName>
    <definedName name="KNOWLEDGE_BASE">'4metatar'!$T$1:$AD$29</definedName>
    <definedName name="LOGO">'4metatar'!$A$1:$J$3</definedName>
    <definedName name="PARAMETERS">'4metatar'!$A$1:$J$67</definedName>
    <definedName name="_xlnm.Print_Area" localSheetId="0">'4metatar'!$AE$20:$AL$43</definedName>
    <definedName name="RAW_DATA">'4metatar'!$A$68:$M$142</definedName>
    <definedName name="RW_CALC">'4metatar'!$K$44:$T$67</definedName>
    <definedName name="TITLE">'4metatar'!$AM$1:$AV$22</definedName>
    <definedName name="WEASEL">'4metatar'!$AE$20:$AL$43</definedName>
  </definedNames>
  <calcPr calcId="144525"/>
</workbook>
</file>

<file path=xl/calcChain.xml><?xml version="1.0" encoding="utf-8"?>
<calcChain xmlns="http://schemas.openxmlformats.org/spreadsheetml/2006/main">
  <c r="P8" i="1" l="1"/>
  <c r="O8" i="1"/>
  <c r="O6" i="1"/>
  <c r="L15" i="1"/>
  <c r="Z4" i="1" s="1"/>
  <c r="L9" i="1"/>
  <c r="AA4" i="1" s="1"/>
  <c r="L5" i="1"/>
  <c r="AO5" i="1"/>
  <c r="AQ5" i="1"/>
  <c r="L6" i="1"/>
  <c r="P6" i="1"/>
  <c r="G43" i="1"/>
  <c r="Q8" i="1" s="1"/>
  <c r="R6" i="1"/>
  <c r="Z6" i="1"/>
  <c r="AD6" i="1" s="1"/>
  <c r="AO6" i="1"/>
  <c r="AQ6" i="1"/>
  <c r="AS6" i="1"/>
  <c r="AQ13" i="1"/>
  <c r="AR13" i="1"/>
  <c r="L7" i="1"/>
  <c r="O7" i="1"/>
  <c r="P7" i="1"/>
  <c r="R7" i="1"/>
  <c r="Z7" i="1"/>
  <c r="AD7" i="1"/>
  <c r="AO7" i="1"/>
  <c r="AQ7" i="1"/>
  <c r="L8" i="1"/>
  <c r="R8" i="1"/>
  <c r="Z8" i="1"/>
  <c r="AD8" i="1" s="1"/>
  <c r="AO8" i="1"/>
  <c r="AQ8" i="1"/>
  <c r="Z9" i="1"/>
  <c r="AD9" i="1"/>
  <c r="AO9" i="1"/>
  <c r="AQ9" i="1"/>
  <c r="L10" i="1"/>
  <c r="Z10" i="1"/>
  <c r="AD10" i="1" s="1"/>
  <c r="AO10" i="1"/>
  <c r="AQ10" i="1"/>
  <c r="L11" i="1"/>
  <c r="Z11" i="1"/>
  <c r="AD11" i="1"/>
  <c r="L12" i="1"/>
  <c r="Z12" i="1"/>
  <c r="AD12" i="1" s="1"/>
  <c r="AO12" i="1"/>
  <c r="AQ12" i="1"/>
  <c r="L13" i="1"/>
  <c r="Z13" i="1"/>
  <c r="AD13" i="1" s="1"/>
  <c r="AA13" i="1"/>
  <c r="AO13" i="1"/>
  <c r="L14" i="1"/>
  <c r="Z14" i="1"/>
  <c r="AD14" i="1" s="1"/>
  <c r="AO14" i="1"/>
  <c r="AQ14" i="1"/>
  <c r="Z15" i="1"/>
  <c r="AD15" i="1" s="1"/>
  <c r="AQ15" i="1"/>
  <c r="L28" i="1"/>
  <c r="D16" i="1" s="1"/>
  <c r="L25" i="1"/>
  <c r="E16" i="1" s="1"/>
  <c r="L16" i="1"/>
  <c r="Z16" i="1"/>
  <c r="AD16" i="1" s="1"/>
  <c r="L17" i="1"/>
  <c r="Z17" i="1"/>
  <c r="AD17" i="1" s="1"/>
  <c r="L18" i="1"/>
  <c r="Z18" i="1"/>
  <c r="AD18" i="1" s="1"/>
  <c r="C19" i="1"/>
  <c r="AQ76" i="1" s="1"/>
  <c r="D19" i="1"/>
  <c r="BB69" i="1" s="1"/>
  <c r="L19" i="1"/>
  <c r="Z19" i="1"/>
  <c r="AD19" i="1" s="1"/>
  <c r="AA19" i="1"/>
  <c r="L20" i="1"/>
  <c r="Z20" i="1"/>
  <c r="AD20" i="1"/>
  <c r="L21" i="1"/>
  <c r="Z21" i="1"/>
  <c r="AD21" i="1"/>
  <c r="C39" i="1"/>
  <c r="AO75" i="1" s="1"/>
  <c r="L22" i="1"/>
  <c r="Z22" i="1"/>
  <c r="AD22" i="1" s="1"/>
  <c r="L23" i="1"/>
  <c r="Z23" i="1"/>
  <c r="AD23" i="1"/>
  <c r="L24" i="1"/>
  <c r="T49" i="1" s="1"/>
  <c r="Z24" i="1"/>
  <c r="AD24" i="1"/>
  <c r="Z25" i="1"/>
  <c r="AD25" i="1" s="1"/>
  <c r="L26" i="1"/>
  <c r="Z26" i="1"/>
  <c r="AD26" i="1" s="1"/>
  <c r="L27" i="1"/>
  <c r="Z27" i="1"/>
  <c r="AD27" i="1" s="1"/>
  <c r="Z28" i="1"/>
  <c r="AD28" i="1" s="1"/>
  <c r="L29" i="1"/>
  <c r="L30" i="1"/>
  <c r="T56" i="1" s="1"/>
  <c r="D31" i="1"/>
  <c r="H31" i="1" s="1"/>
  <c r="L31" i="1"/>
  <c r="L32" i="1"/>
  <c r="T84" i="1" s="1"/>
  <c r="L33" i="1"/>
  <c r="D34" i="1"/>
  <c r="H34" i="1"/>
  <c r="L34" i="1"/>
  <c r="L35" i="1"/>
  <c r="L36" i="1"/>
  <c r="D37" i="1"/>
  <c r="H37" i="1" s="1"/>
  <c r="CM69" i="1" s="1"/>
  <c r="L37" i="1"/>
  <c r="L38" i="1"/>
  <c r="L39" i="1"/>
  <c r="L40" i="1"/>
  <c r="B42" i="1"/>
  <c r="S56" i="1"/>
  <c r="S58" i="1"/>
  <c r="S59" i="1"/>
  <c r="Q61" i="1"/>
  <c r="BY68" i="1"/>
  <c r="BY69" i="1" s="1"/>
  <c r="BY70" i="1" s="1"/>
  <c r="AI69" i="1"/>
  <c r="AJ69" i="1"/>
  <c r="AL69" i="1"/>
  <c r="AL75" i="1" s="1"/>
  <c r="AT69" i="1"/>
  <c r="AN69" i="1"/>
  <c r="AA74" i="1" s="1"/>
  <c r="BP69" i="1"/>
  <c r="BQ69" i="1"/>
  <c r="BR69" i="1"/>
  <c r="BS69" i="1"/>
  <c r="CB69" i="1"/>
  <c r="BY71" i="1"/>
  <c r="BY72" i="1" s="1"/>
  <c r="BY73" i="1" s="1"/>
  <c r="AJ73" i="1"/>
  <c r="AK73" i="1"/>
  <c r="AQ73" i="1"/>
  <c r="AO73" i="1"/>
  <c r="AI73" i="1"/>
  <c r="M73" i="1"/>
  <c r="AJ74" i="1"/>
  <c r="AK74" i="1" s="1"/>
  <c r="AL74" i="1"/>
  <c r="AQ74" i="1"/>
  <c r="AI74" i="1"/>
  <c r="M74" i="1"/>
  <c r="AJ75" i="1"/>
  <c r="AK75" i="1" s="1"/>
  <c r="AQ75" i="1"/>
  <c r="AI75" i="1"/>
  <c r="M75" i="1"/>
  <c r="AJ76" i="1"/>
  <c r="AK76" i="1"/>
  <c r="AL76" i="1"/>
  <c r="AI76" i="1"/>
  <c r="M76" i="1"/>
  <c r="AJ77" i="1"/>
  <c r="AK77" i="1"/>
  <c r="AL77" i="1"/>
  <c r="AQ77" i="1"/>
  <c r="AO77" i="1"/>
  <c r="AI77" i="1"/>
  <c r="M77" i="1"/>
  <c r="AJ78" i="1"/>
  <c r="AK78" i="1" s="1"/>
  <c r="AL78" i="1"/>
  <c r="AQ78" i="1"/>
  <c r="AI78" i="1"/>
  <c r="M78" i="1"/>
  <c r="AJ79" i="1"/>
  <c r="AK79" i="1"/>
  <c r="AL79" i="1"/>
  <c r="AQ79" i="1"/>
  <c r="AI79" i="1"/>
  <c r="M79" i="1"/>
  <c r="AJ80" i="1"/>
  <c r="AL80" i="1"/>
  <c r="AQ80" i="1"/>
  <c r="AI80" i="1"/>
  <c r="M80" i="1"/>
  <c r="P70" i="1"/>
  <c r="W70" i="1"/>
  <c r="X70" i="1"/>
  <c r="Y70" i="1"/>
  <c r="B71" i="1"/>
  <c r="F71" i="1"/>
  <c r="V71" i="1"/>
  <c r="Z73" i="1"/>
  <c r="BQ73" i="1"/>
  <c r="BR73" i="1"/>
  <c r="BS73" i="1"/>
  <c r="BX73" i="1"/>
  <c r="BZ73" i="1"/>
  <c r="DN73" i="1"/>
  <c r="DO73" i="1"/>
  <c r="DP73" i="1"/>
  <c r="Z74" i="1"/>
  <c r="BQ74" i="1"/>
  <c r="BR74" i="1"/>
  <c r="BS74" i="1"/>
  <c r="BX74" i="1"/>
  <c r="BZ74" i="1"/>
  <c r="DN74" i="1"/>
  <c r="DO74" i="1"/>
  <c r="DP74" i="1"/>
  <c r="Z75" i="1"/>
  <c r="BQ75" i="1"/>
  <c r="BR75" i="1"/>
  <c r="BS75" i="1"/>
  <c r="BX75" i="1"/>
  <c r="BZ75" i="1"/>
  <c r="DN75" i="1"/>
  <c r="DO75" i="1"/>
  <c r="DP75" i="1"/>
  <c r="F76" i="1"/>
  <c r="Z76" i="1"/>
  <c r="BQ76" i="1"/>
  <c r="BR76" i="1"/>
  <c r="BS76" i="1"/>
  <c r="BX76" i="1"/>
  <c r="BZ76" i="1"/>
  <c r="DN76" i="1"/>
  <c r="DO76" i="1"/>
  <c r="DP76" i="1"/>
  <c r="Z77" i="1"/>
  <c r="BQ77" i="1"/>
  <c r="BR77" i="1"/>
  <c r="BS77" i="1"/>
  <c r="BX77" i="1"/>
  <c r="BZ77" i="1"/>
  <c r="DN77" i="1"/>
  <c r="DO77" i="1"/>
  <c r="DP77" i="1"/>
  <c r="F78" i="1"/>
  <c r="Z78" i="1"/>
  <c r="BQ78" i="1"/>
  <c r="BR78" i="1"/>
  <c r="BS78" i="1"/>
  <c r="BX78" i="1"/>
  <c r="BZ78" i="1"/>
  <c r="DN78" i="1"/>
  <c r="DO78" i="1"/>
  <c r="DP78" i="1"/>
  <c r="Z79" i="1"/>
  <c r="BQ79" i="1"/>
  <c r="BR79" i="1"/>
  <c r="BS79" i="1"/>
  <c r="BX79" i="1"/>
  <c r="BZ79" i="1"/>
  <c r="DN79" i="1"/>
  <c r="DO79" i="1"/>
  <c r="DP79" i="1"/>
  <c r="F80" i="1"/>
  <c r="Z80" i="1"/>
  <c r="BQ80" i="1"/>
  <c r="BR80" i="1"/>
  <c r="BS80" i="1"/>
  <c r="BX80" i="1"/>
  <c r="BZ80" i="1"/>
  <c r="DN80" i="1"/>
  <c r="DO80" i="1"/>
  <c r="DP80" i="1"/>
  <c r="P83" i="1"/>
  <c r="S83" i="1"/>
  <c r="R84" i="1"/>
  <c r="W85" i="1"/>
  <c r="X85" i="1"/>
  <c r="Z85" i="1"/>
  <c r="W86" i="1"/>
  <c r="X86" i="1"/>
  <c r="Z86" i="1"/>
  <c r="AB86" i="1"/>
  <c r="W87" i="1"/>
  <c r="X87" i="1"/>
  <c r="Y87" i="1"/>
  <c r="Z87" i="1"/>
  <c r="AO80" i="1" l="1"/>
  <c r="F74" i="1"/>
  <c r="AO78" i="1"/>
  <c r="AO74" i="1"/>
  <c r="T55" i="1"/>
  <c r="E34" i="1"/>
  <c r="E22" i="1"/>
  <c r="AA21" i="1"/>
  <c r="AA20" i="1"/>
  <c r="AA12" i="1"/>
  <c r="AA11" i="1"/>
  <c r="AO79" i="1"/>
  <c r="AO76" i="1"/>
  <c r="AY69" i="1"/>
  <c r="B45" i="1"/>
  <c r="CL69" i="1"/>
  <c r="E28" i="1"/>
  <c r="D22" i="1"/>
  <c r="CD69" i="1" s="1"/>
  <c r="M71" i="1"/>
  <c r="AA73" i="1"/>
  <c r="CA69" i="1"/>
  <c r="F79" i="1"/>
  <c r="F77" i="1"/>
  <c r="F75" i="1"/>
  <c r="AI71" i="1"/>
  <c r="L71" i="1"/>
  <c r="CK69" i="1"/>
  <c r="T64" i="1"/>
  <c r="T57" i="1"/>
  <c r="B51" i="1"/>
  <c r="AA24" i="1"/>
  <c r="AA23" i="1"/>
  <c r="AA22" i="1"/>
  <c r="AA15" i="1"/>
  <c r="AA9" i="1"/>
  <c r="AA7" i="1"/>
  <c r="AA6" i="1"/>
  <c r="U84" i="1"/>
  <c r="A71" i="1"/>
  <c r="AA79" i="1"/>
  <c r="AA78" i="1"/>
  <c r="AA75" i="1"/>
  <c r="S84" i="1"/>
  <c r="Z71" i="1"/>
  <c r="AA80" i="1"/>
  <c r="AA77" i="1"/>
  <c r="AA76" i="1"/>
  <c r="S49" i="1"/>
  <c r="E37" i="1"/>
  <c r="E31" i="1"/>
  <c r="AA28" i="1"/>
  <c r="AA27" i="1"/>
  <c r="AA26" i="1"/>
  <c r="AA25" i="1"/>
  <c r="E19" i="1"/>
  <c r="AA18" i="1"/>
  <c r="AA17" i="1"/>
  <c r="AA16" i="1"/>
  <c r="AA14" i="1"/>
  <c r="AA10" i="1"/>
  <c r="AA8" i="1"/>
  <c r="Z5" i="1"/>
  <c r="AD5" i="1" s="1"/>
  <c r="BY74" i="1"/>
  <c r="AK80" i="1"/>
  <c r="AL73" i="1"/>
  <c r="AD4" i="1"/>
  <c r="T58" i="1"/>
  <c r="B48" i="1"/>
  <c r="T59" i="1"/>
  <c r="S55" i="1"/>
  <c r="S57" i="1"/>
  <c r="S64" i="1" s="1"/>
  <c r="P64" i="1" s="1"/>
  <c r="D25" i="1"/>
  <c r="AC27" i="1" s="1"/>
  <c r="E25" i="1"/>
  <c r="AA5" i="1"/>
  <c r="Q7" i="1"/>
  <c r="Y86" i="1" s="1"/>
  <c r="Q6" i="1"/>
  <c r="Y85" i="1" s="1"/>
  <c r="M61" i="1" l="1"/>
  <c r="O61" i="1"/>
  <c r="AB4" i="1"/>
  <c r="AB6" i="1"/>
  <c r="AB16" i="1"/>
  <c r="AB18" i="1"/>
  <c r="AB23" i="1"/>
  <c r="F31" i="1"/>
  <c r="F34" i="1"/>
  <c r="F37" i="1"/>
  <c r="AB5" i="1"/>
  <c r="AB12" i="1"/>
  <c r="AB13" i="1"/>
  <c r="AB15" i="1"/>
  <c r="AB19" i="1"/>
  <c r="AB21" i="1"/>
  <c r="AB26" i="1"/>
  <c r="AB28" i="1"/>
  <c r="AB7" i="1"/>
  <c r="AB9" i="1"/>
  <c r="AB14" i="1"/>
  <c r="AB17" i="1"/>
  <c r="AB22" i="1"/>
  <c r="AB24" i="1"/>
  <c r="AB8" i="1"/>
  <c r="AB25" i="1"/>
  <c r="AB11" i="1"/>
  <c r="AB27" i="1"/>
  <c r="AB10" i="1"/>
  <c r="AR69" i="1"/>
  <c r="AB20" i="1"/>
  <c r="AC28" i="1"/>
  <c r="AC16" i="1"/>
  <c r="AC23" i="1"/>
  <c r="S61" i="1"/>
  <c r="AC19" i="1"/>
  <c r="AC18" i="1"/>
  <c r="AC25" i="1"/>
  <c r="AC26" i="1"/>
  <c r="BY75" i="1"/>
  <c r="AC10" i="1"/>
  <c r="AC20" i="1"/>
  <c r="G31" i="1"/>
  <c r="AC5" i="1"/>
  <c r="AS69" i="1"/>
  <c r="AX69" i="1"/>
  <c r="AC6" i="1"/>
  <c r="AC7" i="1"/>
  <c r="AC24" i="1"/>
  <c r="AC14" i="1"/>
  <c r="AP69" i="1"/>
  <c r="AC9" i="1"/>
  <c r="CC69" i="1"/>
  <c r="AC17" i="1"/>
  <c r="AC22" i="1"/>
  <c r="AC12" i="1"/>
  <c r="AC15" i="1"/>
  <c r="G37" i="1"/>
  <c r="AC8" i="1"/>
  <c r="AC21" i="1"/>
  <c r="AC4" i="1"/>
  <c r="G34" i="1"/>
  <c r="AC13" i="1"/>
  <c r="AC11" i="1"/>
  <c r="AV69" i="1"/>
  <c r="CI69" i="1" l="1"/>
  <c r="AW69" i="1"/>
  <c r="AV71" i="1"/>
  <c r="AV78" i="1"/>
  <c r="AP75" i="1"/>
  <c r="AV75" i="1" s="1"/>
  <c r="AP79" i="1"/>
  <c r="AP73" i="1"/>
  <c r="AV73" i="1" s="1"/>
  <c r="AP77" i="1"/>
  <c r="AP80" i="1"/>
  <c r="AP78" i="1"/>
  <c r="AP76" i="1"/>
  <c r="AV76" i="1" s="1"/>
  <c r="AP74" i="1"/>
  <c r="CH69" i="1"/>
  <c r="S63" i="1"/>
  <c r="AQ69" i="1"/>
  <c r="AM69" i="1"/>
  <c r="BY76" i="1"/>
  <c r="CE69" i="1"/>
  <c r="CG69" i="1"/>
  <c r="AU74" i="1" l="1"/>
  <c r="AM74" i="1"/>
  <c r="AN74" i="1" s="1"/>
  <c r="N74" i="1" s="1"/>
  <c r="AS74" i="1" s="1"/>
  <c r="AM78" i="1"/>
  <c r="AN78" i="1" s="1"/>
  <c r="N78" i="1" s="1"/>
  <c r="AU78" i="1"/>
  <c r="AU79" i="1"/>
  <c r="AM79" i="1"/>
  <c r="AN79" i="1" s="1"/>
  <c r="N79" i="1" s="1"/>
  <c r="AV79" i="1"/>
  <c r="AU77" i="1"/>
  <c r="AM77" i="1"/>
  <c r="AN77" i="1" s="1"/>
  <c r="N77" i="1" s="1"/>
  <c r="BK77" i="1" s="1"/>
  <c r="AV77" i="1"/>
  <c r="AM76" i="1"/>
  <c r="AN76" i="1" s="1"/>
  <c r="N76" i="1" s="1"/>
  <c r="AS76" i="1" s="1"/>
  <c r="AU76" i="1"/>
  <c r="AU73" i="1"/>
  <c r="AM73" i="1"/>
  <c r="AN73" i="1" s="1"/>
  <c r="N73" i="1" s="1"/>
  <c r="AW73" i="1" s="1"/>
  <c r="BK69" i="1"/>
  <c r="BK78" i="1" s="1"/>
  <c r="BL78" i="1" s="1"/>
  <c r="BM78" i="1" s="1"/>
  <c r="BY77" i="1"/>
  <c r="AM80" i="1"/>
  <c r="AN80" i="1" s="1"/>
  <c r="N80" i="1" s="1"/>
  <c r="AU80" i="1"/>
  <c r="AU75" i="1"/>
  <c r="AM75" i="1"/>
  <c r="AN75" i="1" s="1"/>
  <c r="N75" i="1" s="1"/>
  <c r="AW75" i="1" s="1"/>
  <c r="AV80" i="1"/>
  <c r="AV74" i="1"/>
  <c r="BK79" i="1" l="1"/>
  <c r="AS75" i="1"/>
  <c r="BK74" i="1"/>
  <c r="BK73" i="1"/>
  <c r="BL73" i="1" s="1"/>
  <c r="BM73" i="1" s="1"/>
  <c r="AY77" i="1"/>
  <c r="AX77" i="1"/>
  <c r="AT77" i="1"/>
  <c r="AD77" i="1"/>
  <c r="CB77" i="1"/>
  <c r="AR77" i="1"/>
  <c r="CC77" i="1" s="1"/>
  <c r="BE77" i="1"/>
  <c r="AY78" i="1"/>
  <c r="AX78" i="1"/>
  <c r="AT78" i="1"/>
  <c r="AD78" i="1"/>
  <c r="CB78" i="1"/>
  <c r="BE78" i="1"/>
  <c r="AR78" i="1"/>
  <c r="AW80" i="1"/>
  <c r="AX76" i="1"/>
  <c r="AY76" i="1"/>
  <c r="AR76" i="1"/>
  <c r="BE76" i="1"/>
  <c r="AT76" i="1"/>
  <c r="AD76" i="1"/>
  <c r="CB76" i="1"/>
  <c r="AS77" i="1"/>
  <c r="AX80" i="1"/>
  <c r="AY80" i="1"/>
  <c r="BE80" i="1"/>
  <c r="AT80" i="1"/>
  <c r="AD80" i="1"/>
  <c r="CB80" i="1"/>
  <c r="AR80" i="1"/>
  <c r="AY79" i="1"/>
  <c r="AX79" i="1"/>
  <c r="AD79" i="1"/>
  <c r="CB79" i="1"/>
  <c r="AR79" i="1"/>
  <c r="BE79" i="1"/>
  <c r="AT79" i="1"/>
  <c r="AY74" i="1"/>
  <c r="AR74" i="1"/>
  <c r="BE74" i="1"/>
  <c r="CB74" i="1"/>
  <c r="AX74" i="1"/>
  <c r="AT74" i="1"/>
  <c r="AD74" i="1"/>
  <c r="AW74" i="1"/>
  <c r="BL74" i="1"/>
  <c r="BM74" i="1" s="1"/>
  <c r="AR73" i="1"/>
  <c r="BE73" i="1"/>
  <c r="CB73" i="1"/>
  <c r="AY73" i="1"/>
  <c r="AX73" i="1"/>
  <c r="AT73" i="1"/>
  <c r="AD73" i="1"/>
  <c r="AS79" i="1"/>
  <c r="BY78" i="1"/>
  <c r="BK80" i="1"/>
  <c r="BL80" i="1" s="1"/>
  <c r="BM80" i="1" s="1"/>
  <c r="AX75" i="1"/>
  <c r="AR75" i="1"/>
  <c r="CC75" i="1" s="1"/>
  <c r="BE75" i="1"/>
  <c r="AT75" i="1"/>
  <c r="AY75" i="1"/>
  <c r="AD75" i="1"/>
  <c r="CB75" i="1"/>
  <c r="AS80" i="1"/>
  <c r="BK76" i="1"/>
  <c r="BL76" i="1" s="1"/>
  <c r="BM76" i="1" s="1"/>
  <c r="BK75" i="1"/>
  <c r="BL75" i="1" s="1"/>
  <c r="BM75" i="1" s="1"/>
  <c r="AW78" i="1"/>
  <c r="AS73" i="1"/>
  <c r="AW77" i="1"/>
  <c r="BL77" i="1"/>
  <c r="BM77" i="1" s="1"/>
  <c r="BL79" i="1"/>
  <c r="BM79" i="1" s="1"/>
  <c r="AW79" i="1"/>
  <c r="AS78" i="1"/>
  <c r="AW76" i="1"/>
  <c r="CC79" i="1" l="1"/>
  <c r="CC76" i="1"/>
  <c r="CC74" i="1"/>
  <c r="AZ74" i="1"/>
  <c r="BA74" i="1" s="1"/>
  <c r="CD74" i="1"/>
  <c r="CF74" i="1" s="1"/>
  <c r="AZ79" i="1"/>
  <c r="BA79" i="1" s="1"/>
  <c r="CD79" i="1"/>
  <c r="CF79" i="1" s="1"/>
  <c r="CC80" i="1"/>
  <c r="AZ76" i="1"/>
  <c r="BA76" i="1" s="1"/>
  <c r="CD76" i="1"/>
  <c r="CF76" i="1" s="1"/>
  <c r="AZ78" i="1"/>
  <c r="BA78" i="1" s="1"/>
  <c r="CD78" i="1"/>
  <c r="CF78" i="1" s="1"/>
  <c r="CE75" i="1"/>
  <c r="AZ80" i="1"/>
  <c r="BA80" i="1" s="1"/>
  <c r="CD80" i="1"/>
  <c r="CF80" i="1" s="1"/>
  <c r="BY79" i="1"/>
  <c r="CC73" i="1"/>
  <c r="CC78" i="1"/>
  <c r="AZ75" i="1"/>
  <c r="BA75" i="1" s="1"/>
  <c r="CD75" i="1"/>
  <c r="CF75" i="1" s="1"/>
  <c r="CD73" i="1"/>
  <c r="CF73" i="1" s="1"/>
  <c r="AZ73" i="1"/>
  <c r="BA73" i="1" s="1"/>
  <c r="CG79" i="1"/>
  <c r="CE79" i="1"/>
  <c r="CG76" i="1"/>
  <c r="CE76" i="1"/>
  <c r="CE77" i="1"/>
  <c r="AZ77" i="1"/>
  <c r="BA77" i="1" s="1"/>
  <c r="CD77" i="1"/>
  <c r="CF77" i="1" s="1"/>
  <c r="BB75" i="1" l="1"/>
  <c r="CK75" i="1" s="1"/>
  <c r="BB76" i="1"/>
  <c r="CK76" i="1" s="1"/>
  <c r="BB77" i="1"/>
  <c r="CK77" i="1" s="1"/>
  <c r="BB74" i="1"/>
  <c r="CK74" i="1" s="1"/>
  <c r="CH76" i="1"/>
  <c r="CI76" i="1" s="1"/>
  <c r="CE78" i="1"/>
  <c r="CG78" i="1"/>
  <c r="BB80" i="1"/>
  <c r="CK80" i="1" s="1"/>
  <c r="BB78" i="1"/>
  <c r="CG74" i="1"/>
  <c r="CE74" i="1"/>
  <c r="CH79" i="1"/>
  <c r="CJ79" i="1" s="1"/>
  <c r="CI79" i="1"/>
  <c r="BB73" i="1"/>
  <c r="CK73" i="1" s="1"/>
  <c r="BY80" i="1"/>
  <c r="CG80" i="1"/>
  <c r="CE80" i="1"/>
  <c r="CG77" i="1"/>
  <c r="CG73" i="1"/>
  <c r="CE73" i="1"/>
  <c r="CG75" i="1"/>
  <c r="BB79" i="1"/>
  <c r="CK79" i="1" s="1"/>
  <c r="BF75" i="1"/>
  <c r="BF73" i="1"/>
  <c r="BF76" i="1"/>
  <c r="BF79" i="1"/>
  <c r="BF78" i="1"/>
  <c r="BF77" i="1"/>
  <c r="BF74" i="1"/>
  <c r="CJ76" i="1" l="1"/>
  <c r="O78" i="1"/>
  <c r="O73" i="1"/>
  <c r="O74" i="1"/>
  <c r="O76" i="1"/>
  <c r="O79" i="1"/>
  <c r="O77" i="1"/>
  <c r="O75" i="1"/>
  <c r="CL79" i="1"/>
  <c r="CN79" i="1" s="1"/>
  <c r="CL74" i="1"/>
  <c r="CM74" i="1" s="1"/>
  <c r="CN77" i="1"/>
  <c r="CL77" i="1"/>
  <c r="CM77" i="1" s="1"/>
  <c r="CL76" i="1"/>
  <c r="CM76" i="1" s="1"/>
  <c r="CL73" i="1"/>
  <c r="CM73" i="1" s="1"/>
  <c r="CL75" i="1"/>
  <c r="CM75" i="1" s="1"/>
  <c r="CH73" i="1"/>
  <c r="CI73" i="1" s="1"/>
  <c r="CH77" i="1"/>
  <c r="CJ77" i="1" s="1"/>
  <c r="CI77" i="1"/>
  <c r="CH75" i="1"/>
  <c r="CJ75" i="1"/>
  <c r="CI75" i="1"/>
  <c r="BY81" i="1"/>
  <c r="BY82" i="1" s="1"/>
  <c r="BY83" i="1" s="1"/>
  <c r="BY84" i="1" s="1"/>
  <c r="BY85" i="1" s="1"/>
  <c r="BY86" i="1" s="1"/>
  <c r="BY87" i="1" s="1"/>
  <c r="BY142" i="1" s="1"/>
  <c r="CL80" i="1"/>
  <c r="CM80" i="1"/>
  <c r="CN80" i="1"/>
  <c r="CH80" i="1"/>
  <c r="CI80" i="1" s="1"/>
  <c r="CH74" i="1"/>
  <c r="CI74" i="1" s="1"/>
  <c r="CK78" i="1"/>
  <c r="CJ78" i="1"/>
  <c r="CH78" i="1"/>
  <c r="CI78" i="1" s="1"/>
  <c r="W75" i="1"/>
  <c r="W80" i="1"/>
  <c r="W76" i="1"/>
  <c r="W73" i="1"/>
  <c r="BF80" i="1"/>
  <c r="W77" i="1"/>
  <c r="W74" i="1"/>
  <c r="CN74" i="1" l="1"/>
  <c r="X74" i="1" s="1"/>
  <c r="Y74" i="1" s="1"/>
  <c r="BC74" i="1" s="1"/>
  <c r="BD74" i="1" s="1"/>
  <c r="CJ74" i="1"/>
  <c r="CN75" i="1"/>
  <c r="CM79" i="1"/>
  <c r="CN76" i="1"/>
  <c r="X76" i="1" s="1"/>
  <c r="Y76" i="1" s="1"/>
  <c r="BC76" i="1" s="1"/>
  <c r="BD76" i="1" s="1"/>
  <c r="CN73" i="1"/>
  <c r="CJ80" i="1"/>
  <c r="CJ73" i="1"/>
  <c r="X75" i="1"/>
  <c r="Y75" i="1" s="1"/>
  <c r="X80" i="1"/>
  <c r="O80" i="1"/>
  <c r="X77" i="1"/>
  <c r="Y77" i="1" s="1"/>
  <c r="BC77" i="1" s="1"/>
  <c r="BD77" i="1" s="1"/>
  <c r="X73" i="1"/>
  <c r="Y73" i="1" s="1"/>
  <c r="BC73" i="1" s="1"/>
  <c r="BD73" i="1" s="1"/>
  <c r="CL78" i="1"/>
  <c r="CN78" i="1" s="1"/>
  <c r="CM78" i="1"/>
  <c r="BO79" i="1"/>
  <c r="BW79" i="1"/>
  <c r="DK79" i="1"/>
  <c r="R79" i="1"/>
  <c r="BG79" i="1"/>
  <c r="DM79" i="1"/>
  <c r="DQ79" i="1"/>
  <c r="V79" i="1"/>
  <c r="CA79" i="1" s="1"/>
  <c r="BH79" i="1"/>
  <c r="BI79" i="1" s="1"/>
  <c r="BJ79" i="1" s="1"/>
  <c r="BN79" i="1"/>
  <c r="AE79" i="1"/>
  <c r="BO78" i="1"/>
  <c r="BW78" i="1"/>
  <c r="DK78" i="1"/>
  <c r="R78" i="1"/>
  <c r="BG78" i="1"/>
  <c r="DM78" i="1"/>
  <c r="DQ78" i="1"/>
  <c r="BN78" i="1"/>
  <c r="V78" i="1"/>
  <c r="CA78" i="1" s="1"/>
  <c r="BH78" i="1"/>
  <c r="BI78" i="1" s="1"/>
  <c r="BJ78" i="1" s="1"/>
  <c r="AE78" i="1"/>
  <c r="BO76" i="1"/>
  <c r="R76" i="1"/>
  <c r="BG76" i="1"/>
  <c r="DM76" i="1"/>
  <c r="DQ76" i="1"/>
  <c r="BW76" i="1"/>
  <c r="DK76" i="1"/>
  <c r="BH76" i="1"/>
  <c r="BI76" i="1" s="1"/>
  <c r="BJ76" i="1" s="1"/>
  <c r="V76" i="1"/>
  <c r="CA76" i="1" s="1"/>
  <c r="AE76" i="1"/>
  <c r="BN76" i="1"/>
  <c r="BO77" i="1"/>
  <c r="BG77" i="1"/>
  <c r="DM77" i="1"/>
  <c r="DQ77" i="1"/>
  <c r="BW77" i="1"/>
  <c r="DK77" i="1"/>
  <c r="R77" i="1"/>
  <c r="BH77" i="1"/>
  <c r="BI77" i="1" s="1"/>
  <c r="BJ77" i="1" s="1"/>
  <c r="V77" i="1"/>
  <c r="CA77" i="1" s="1"/>
  <c r="AE77" i="1"/>
  <c r="BN77" i="1"/>
  <c r="R73" i="1"/>
  <c r="BW73" i="1"/>
  <c r="DK73" i="1"/>
  <c r="BG73" i="1"/>
  <c r="BO73" i="1"/>
  <c r="DM73" i="1"/>
  <c r="DQ73" i="1"/>
  <c r="BH73" i="1"/>
  <c r="BI73" i="1" s="1"/>
  <c r="BJ73" i="1" s="1"/>
  <c r="BN73" i="1"/>
  <c r="AE73" i="1"/>
  <c r="V73" i="1"/>
  <c r="CA73" i="1" s="1"/>
  <c r="BO75" i="1"/>
  <c r="R75" i="1"/>
  <c r="BG75" i="1"/>
  <c r="DM75" i="1"/>
  <c r="DQ75" i="1"/>
  <c r="BW75" i="1"/>
  <c r="DK75" i="1"/>
  <c r="BH75" i="1"/>
  <c r="BI75" i="1" s="1"/>
  <c r="BJ75" i="1" s="1"/>
  <c r="V75" i="1"/>
  <c r="CA75" i="1" s="1"/>
  <c r="AE75" i="1"/>
  <c r="BN75" i="1"/>
  <c r="R74" i="1"/>
  <c r="BW74" i="1"/>
  <c r="DK74" i="1"/>
  <c r="BO74" i="1"/>
  <c r="DM74" i="1"/>
  <c r="DQ74" i="1"/>
  <c r="BG74" i="1"/>
  <c r="V74" i="1"/>
  <c r="CA74" i="1" s="1"/>
  <c r="BH74" i="1"/>
  <c r="BI74" i="1" s="1"/>
  <c r="BJ74" i="1" s="1"/>
  <c r="AE74" i="1"/>
  <c r="BN74" i="1"/>
  <c r="P73" i="1"/>
  <c r="P77" i="1"/>
  <c r="W78" i="1"/>
  <c r="P74" i="1"/>
  <c r="P76" i="1"/>
  <c r="W79" i="1"/>
  <c r="P78" i="1"/>
  <c r="P75" i="1"/>
  <c r="P79" i="1"/>
  <c r="X79" i="1" l="1"/>
  <c r="Y79" i="1" s="1"/>
  <c r="Y80" i="1"/>
  <c r="BC80" i="1" s="1"/>
  <c r="BD80" i="1" s="1"/>
  <c r="BC75" i="1"/>
  <c r="BD75" i="1" s="1"/>
  <c r="DJ75" i="1"/>
  <c r="S75" i="1"/>
  <c r="BP75" i="1" s="1"/>
  <c r="AC75" i="1"/>
  <c r="AB75" i="1"/>
  <c r="DJ73" i="1"/>
  <c r="AB73" i="1"/>
  <c r="S73" i="1"/>
  <c r="BP73" i="1" s="1"/>
  <c r="AC73" i="1"/>
  <c r="DJ76" i="1"/>
  <c r="AC76" i="1"/>
  <c r="AB76" i="1"/>
  <c r="S76" i="1"/>
  <c r="BP76" i="1" s="1"/>
  <c r="DJ78" i="1"/>
  <c r="AC78" i="1"/>
  <c r="AB78" i="1"/>
  <c r="S78" i="1"/>
  <c r="BP78" i="1" s="1"/>
  <c r="DJ79" i="1"/>
  <c r="AC79" i="1"/>
  <c r="AB79" i="1"/>
  <c r="S79" i="1"/>
  <c r="BP79" i="1" s="1"/>
  <c r="X78" i="1"/>
  <c r="DJ74" i="1"/>
  <c r="AB74" i="1"/>
  <c r="S74" i="1"/>
  <c r="BP74" i="1" s="1"/>
  <c r="AC74" i="1"/>
  <c r="DJ77" i="1"/>
  <c r="AC77" i="1"/>
  <c r="AB77" i="1"/>
  <c r="S77" i="1"/>
  <c r="BP77" i="1" s="1"/>
  <c r="BO80" i="1"/>
  <c r="R80" i="1"/>
  <c r="BG80" i="1"/>
  <c r="DM80" i="1"/>
  <c r="DQ80" i="1"/>
  <c r="BW80" i="1"/>
  <c r="DK80" i="1"/>
  <c r="AE80" i="1"/>
  <c r="BH80" i="1"/>
  <c r="BI80" i="1" s="1"/>
  <c r="BJ80" i="1" s="1"/>
  <c r="V80" i="1"/>
  <c r="CA80" i="1" s="1"/>
  <c r="BN80" i="1"/>
  <c r="P80" i="1"/>
  <c r="BC79" i="1" l="1"/>
  <c r="BD79" i="1" s="1"/>
  <c r="Y78" i="1"/>
  <c r="BC78" i="1" s="1"/>
  <c r="BD78" i="1" s="1"/>
  <c r="DJ80" i="1"/>
  <c r="AC80" i="1"/>
  <c r="S80" i="1"/>
  <c r="BP80" i="1" s="1"/>
  <c r="AB80" i="1"/>
  <c r="BU74" i="1"/>
  <c r="BV74" i="1"/>
  <c r="BT74" i="1"/>
  <c r="BT75" i="1"/>
  <c r="BV75" i="1"/>
  <c r="BU75" i="1"/>
  <c r="BT73" i="1"/>
  <c r="BU73" i="1"/>
  <c r="BV73" i="1"/>
  <c r="AF75" i="1"/>
  <c r="AG75" i="1" s="1"/>
  <c r="AH75" i="1" s="1"/>
  <c r="AF77" i="1"/>
  <c r="AG77" i="1" s="1"/>
  <c r="AH77" i="1" s="1"/>
  <c r="AF74" i="1"/>
  <c r="AG74" i="1" s="1"/>
  <c r="AH74" i="1" s="1"/>
  <c r="AF79" i="1"/>
  <c r="AG79" i="1" s="1"/>
  <c r="AH79" i="1" s="1"/>
  <c r="BT78" i="1"/>
  <c r="BV78" i="1"/>
  <c r="BU78" i="1"/>
  <c r="BT76" i="1"/>
  <c r="BU76" i="1"/>
  <c r="BV76" i="1"/>
  <c r="BT79" i="1"/>
  <c r="BU79" i="1"/>
  <c r="BV79" i="1"/>
  <c r="AF76" i="1"/>
  <c r="AG76" i="1" s="1"/>
  <c r="AH76" i="1" s="1"/>
  <c r="BT77" i="1"/>
  <c r="BU77" i="1"/>
  <c r="BV77" i="1"/>
  <c r="AF78" i="1"/>
  <c r="AG78" i="1" s="1"/>
  <c r="AH78" i="1" s="1"/>
  <c r="AF73" i="1"/>
  <c r="AG73" i="1" s="1"/>
  <c r="AH73" i="1" s="1"/>
  <c r="Q77" i="1"/>
  <c r="Q76" i="1"/>
  <c r="Q75" i="1"/>
  <c r="Q79" i="1"/>
  <c r="Q78" i="1"/>
  <c r="Q74" i="1"/>
  <c r="Q73" i="1"/>
  <c r="DL73" i="1" l="1"/>
  <c r="CQ73" i="1"/>
  <c r="CO73" i="1"/>
  <c r="CP73" i="1"/>
  <c r="DL78" i="1"/>
  <c r="CO78" i="1"/>
  <c r="CQ78" i="1"/>
  <c r="DE78" i="1" s="1"/>
  <c r="CP78" i="1"/>
  <c r="DL77" i="1"/>
  <c r="CQ77" i="1"/>
  <c r="CO77" i="1"/>
  <c r="CP77" i="1"/>
  <c r="DL74" i="1"/>
  <c r="CP74" i="1"/>
  <c r="CZ74" i="1" s="1"/>
  <c r="CQ74" i="1"/>
  <c r="CO74" i="1"/>
  <c r="DL76" i="1"/>
  <c r="CQ76" i="1"/>
  <c r="CO76" i="1"/>
  <c r="CU76" i="1" s="1"/>
  <c r="CP76" i="1"/>
  <c r="DL79" i="1"/>
  <c r="CO79" i="1"/>
  <c r="CQ79" i="1"/>
  <c r="DE79" i="1" s="1"/>
  <c r="CP79" i="1"/>
  <c r="DL75" i="1"/>
  <c r="CO75" i="1"/>
  <c r="CU75" i="1" s="1"/>
  <c r="CQ75" i="1"/>
  <c r="CP75" i="1"/>
  <c r="DR76" i="1"/>
  <c r="DS76" i="1"/>
  <c r="DR74" i="1"/>
  <c r="DS74" i="1"/>
  <c r="AF80" i="1"/>
  <c r="AG80" i="1" s="1"/>
  <c r="AH80" i="1" s="1"/>
  <c r="DR77" i="1"/>
  <c r="DS77" i="1"/>
  <c r="BT80" i="1"/>
  <c r="BU80" i="1"/>
  <c r="BV80" i="1"/>
  <c r="DS73" i="1"/>
  <c r="DR73" i="1"/>
  <c r="DS75" i="1"/>
  <c r="DR75" i="1"/>
  <c r="DR78" i="1"/>
  <c r="DS78" i="1"/>
  <c r="DS79" i="1"/>
  <c r="DR79" i="1"/>
  <c r="Q80" i="1"/>
  <c r="DL80" i="1" l="1"/>
  <c r="CQ80" i="1"/>
  <c r="CO80" i="1"/>
  <c r="CU80" i="1" s="1"/>
  <c r="CP80" i="1"/>
  <c r="T75" i="1"/>
  <c r="DF75" i="1"/>
  <c r="DB75" i="1"/>
  <c r="DC75" i="1"/>
  <c r="DD75" i="1" s="1"/>
  <c r="CV79" i="1"/>
  <c r="CR79" i="1"/>
  <c r="CS79" i="1"/>
  <c r="CT79" i="1" s="1"/>
  <c r="CV74" i="1"/>
  <c r="CR74" i="1"/>
  <c r="CS74" i="1"/>
  <c r="CT74" i="1" s="1"/>
  <c r="CV77" i="1"/>
  <c r="CR77" i="1"/>
  <c r="CS77" i="1"/>
  <c r="CT77" i="1" s="1"/>
  <c r="CU77" i="1"/>
  <c r="CV78" i="1"/>
  <c r="CR78" i="1"/>
  <c r="CS78" i="1"/>
  <c r="CT78" i="1" s="1"/>
  <c r="CV75" i="1"/>
  <c r="CR75" i="1"/>
  <c r="CS75" i="1"/>
  <c r="CT75" i="1" s="1"/>
  <c r="DE75" i="1"/>
  <c r="DA76" i="1"/>
  <c r="CW76" i="1"/>
  <c r="CX76" i="1"/>
  <c r="CY76" i="1" s="1"/>
  <c r="T74" i="1"/>
  <c r="DF74" i="1"/>
  <c r="DB74" i="1"/>
  <c r="DC74" i="1"/>
  <c r="DD74" i="1" s="1"/>
  <c r="CU74" i="1"/>
  <c r="T77" i="1"/>
  <c r="DF77" i="1"/>
  <c r="DB77" i="1"/>
  <c r="DC77" i="1"/>
  <c r="DD77" i="1" s="1"/>
  <c r="DE77" i="1"/>
  <c r="DA73" i="1"/>
  <c r="CW73" i="1"/>
  <c r="CX73" i="1"/>
  <c r="CZ73" i="1"/>
  <c r="DR80" i="1"/>
  <c r="AA87" i="1" s="1"/>
  <c r="DS80" i="1"/>
  <c r="AB87" i="1" s="1"/>
  <c r="DA79" i="1"/>
  <c r="CW79" i="1"/>
  <c r="CX79" i="1"/>
  <c r="CY79" i="1" s="1"/>
  <c r="CZ79" i="1"/>
  <c r="CV76" i="1"/>
  <c r="CR76" i="1"/>
  <c r="CS76" i="1"/>
  <c r="CT76" i="1" s="1"/>
  <c r="CZ76" i="1"/>
  <c r="DA74" i="1"/>
  <c r="CW74" i="1"/>
  <c r="CX74" i="1"/>
  <c r="CY74" i="1" s="1"/>
  <c r="DE74" i="1"/>
  <c r="DA78" i="1"/>
  <c r="CW78" i="1"/>
  <c r="CX78" i="1"/>
  <c r="CY78" i="1" s="1"/>
  <c r="CZ78" i="1"/>
  <c r="CV73" i="1"/>
  <c r="CR73" i="1"/>
  <c r="CS73" i="1"/>
  <c r="CU73" i="1"/>
  <c r="DA75" i="1"/>
  <c r="CW75" i="1"/>
  <c r="CX75" i="1"/>
  <c r="CY75" i="1" s="1"/>
  <c r="CZ75" i="1"/>
  <c r="T79" i="1"/>
  <c r="DF79" i="1"/>
  <c r="DB79" i="1"/>
  <c r="DC79" i="1"/>
  <c r="DD79" i="1" s="1"/>
  <c r="CU79" i="1"/>
  <c r="T76" i="1"/>
  <c r="DF76" i="1"/>
  <c r="DB76" i="1"/>
  <c r="DC76" i="1"/>
  <c r="DD76" i="1" s="1"/>
  <c r="DE76" i="1"/>
  <c r="DA77" i="1"/>
  <c r="CW77" i="1"/>
  <c r="CX77" i="1"/>
  <c r="CY77" i="1" s="1"/>
  <c r="CZ77" i="1"/>
  <c r="T78" i="1"/>
  <c r="DF78" i="1"/>
  <c r="DB78" i="1"/>
  <c r="DC78" i="1"/>
  <c r="DD78" i="1" s="1"/>
  <c r="CU78" i="1"/>
  <c r="T73" i="1"/>
  <c r="DF73" i="1"/>
  <c r="DB73" i="1"/>
  <c r="DC73" i="1"/>
  <c r="DE73" i="1"/>
  <c r="T85" i="1" l="1"/>
  <c r="CY73" i="1"/>
  <c r="CT73" i="1"/>
  <c r="DA80" i="1"/>
  <c r="U86" i="1" s="1"/>
  <c r="CW80" i="1"/>
  <c r="CX80" i="1"/>
  <c r="CY80" i="1" s="1"/>
  <c r="DD73" i="1"/>
  <c r="AC87" i="1"/>
  <c r="CV80" i="1"/>
  <c r="CR80" i="1"/>
  <c r="CS80" i="1"/>
  <c r="CT80" i="1" s="1"/>
  <c r="CZ80" i="1"/>
  <c r="T86" i="1" s="1"/>
  <c r="U85" i="1"/>
  <c r="T80" i="1"/>
  <c r="DF80" i="1"/>
  <c r="U87" i="1" s="1"/>
  <c r="DB80" i="1"/>
  <c r="DC80" i="1"/>
  <c r="DD80" i="1" s="1"/>
  <c r="DE80" i="1"/>
  <c r="DE69" i="1" s="1"/>
  <c r="R87" i="1" l="1"/>
  <c r="O87" i="1" s="1"/>
  <c r="S87" i="1"/>
  <c r="N87" i="1"/>
  <c r="S85" i="1"/>
  <c r="N85" i="1"/>
  <c r="Q85" i="1"/>
  <c r="R86" i="1"/>
  <c r="Q86" i="1"/>
  <c r="N86" i="1"/>
  <c r="T87" i="1"/>
  <c r="U72" i="1" s="1"/>
  <c r="U73" i="1" s="1"/>
  <c r="U74" i="1" s="1"/>
  <c r="U75" i="1" s="1"/>
  <c r="U76" i="1" s="1"/>
  <c r="U77" i="1" s="1"/>
  <c r="U78" i="1" s="1"/>
  <c r="U79" i="1" s="1"/>
  <c r="U80" i="1" s="1"/>
  <c r="S86" i="1"/>
  <c r="R85" i="1"/>
  <c r="P85" i="1" s="1"/>
  <c r="P87" i="1" l="1"/>
  <c r="P86" i="1"/>
  <c r="Q87" i="1"/>
  <c r="O85" i="1"/>
  <c r="O86" i="1"/>
</calcChain>
</file>

<file path=xl/sharedStrings.xml><?xml version="1.0" encoding="utf-8"?>
<sst xmlns="http://schemas.openxmlformats.org/spreadsheetml/2006/main" count="690" uniqueCount="508">
  <si>
    <t xml:space="preserve">         META/LOG CONSTANTS</t>
  </si>
  <si>
    <t xml:space="preserve">                            META/LOG KNOWLEDGE BASE</t>
  </si>
  <si>
    <t xml:space="preserve">        META/LOG "ESP" HELP FILE</t>
  </si>
  <si>
    <t>Meta/Log "ESP" Report</t>
  </si>
  <si>
    <t xml:space="preserve">          A Knowledge Based System For Formation Evaluation     </t>
  </si>
  <si>
    <t>Log Analysis Data and Results</t>
  </si>
  <si>
    <t>METRIC CONVR</t>
  </si>
  <si>
    <t>VSHMAX</t>
  </si>
  <si>
    <t>PHIMIN</t>
  </si>
  <si>
    <t>SWMAX</t>
  </si>
  <si>
    <t>PRMmin</t>
  </si>
  <si>
    <t xml:space="preserve">   MINERAL</t>
  </si>
  <si>
    <t>LITH1</t>
  </si>
  <si>
    <t xml:space="preserve">   PE</t>
  </si>
  <si>
    <t xml:space="preserve">  PHIN</t>
  </si>
  <si>
    <t xml:space="preserve">  DENS</t>
  </si>
  <si>
    <t xml:space="preserve"> MLITH</t>
  </si>
  <si>
    <t xml:space="preserve"> NLITH</t>
  </si>
  <si>
    <t xml:space="preserve">   UMA</t>
  </si>
  <si>
    <t xml:space="preserve"> Enter data into highlighted cells in HEADER, PARAMETERS, and RAW DATA.</t>
  </si>
  <si>
    <t>Used</t>
  </si>
  <si>
    <t>English</t>
  </si>
  <si>
    <t xml:space="preserve"> Metric</t>
  </si>
  <si>
    <t>frac</t>
  </si>
  <si>
    <t>md</t>
  </si>
  <si>
    <t>Main</t>
  </si>
  <si>
    <t>Quartz</t>
  </si>
  <si>
    <t>QRTZ</t>
  </si>
  <si>
    <t xml:space="preserve"> Press Calculate (F9 in Lotus) FOUR times. Check ANSWERS. Revise PARA-</t>
  </si>
  <si>
    <t/>
  </si>
  <si>
    <t>Calcite</t>
  </si>
  <si>
    <t>LIME</t>
  </si>
  <si>
    <t xml:space="preserve"> METERS as needed and re-calc FOUR times.</t>
  </si>
  <si>
    <t>E. R. Crain, P.Eng.</t>
  </si>
  <si>
    <t>Dolomite</t>
  </si>
  <si>
    <t>DOLO</t>
  </si>
  <si>
    <t>Anhydrite</t>
  </si>
  <si>
    <t>ANHY</t>
  </si>
  <si>
    <t xml:space="preserve"> This master spreadsheet has TWO data sets for two wells or two zones.</t>
  </si>
  <si>
    <t>Gypsum</t>
  </si>
  <si>
    <t>GYPS</t>
  </si>
  <si>
    <t xml:space="preserve"> Copy last data set to create space for more wells or zones.  DO NOT  </t>
  </si>
  <si>
    <t xml:space="preserve">  to</t>
  </si>
  <si>
    <t>Depthcut</t>
  </si>
  <si>
    <t>Mica</t>
  </si>
  <si>
    <t>Muscovite</t>
  </si>
  <si>
    <t>MUSC</t>
  </si>
  <si>
    <t xml:space="preserve"> leave blank lines between data sets.                                 </t>
  </si>
  <si>
    <t>Start line#</t>
  </si>
  <si>
    <t>Biotite</t>
  </si>
  <si>
    <t>BIOT</t>
  </si>
  <si>
    <t xml:space="preserve"> Erase data lines you do not need. DO NOT delete lines.</t>
  </si>
  <si>
    <t>UNITS</t>
  </si>
  <si>
    <t>M</t>
  </si>
  <si>
    <t xml:space="preserve"> (MorE)</t>
  </si>
  <si>
    <t>Clay</t>
  </si>
  <si>
    <t>Kaolinite</t>
  </si>
  <si>
    <t>KAOL</t>
  </si>
  <si>
    <t xml:space="preserve"> Insert extra lines BELOW top line and ABOVE bottom line of a data set</t>
  </si>
  <si>
    <t>Glauconite</t>
  </si>
  <si>
    <t>GLAC</t>
  </si>
  <si>
    <t xml:space="preserve"> CAUTION: You MUST copy cell BY67 down over every line to the bottom  </t>
  </si>
  <si>
    <t>DON'T MESS WITH THESE NUMBERS</t>
  </si>
  <si>
    <t>Illite</t>
  </si>
  <si>
    <t>ILL</t>
  </si>
  <si>
    <t xml:space="preserve"> of the last data set. Also be sure that all formulas are copied when </t>
  </si>
  <si>
    <t>Chlorite</t>
  </si>
  <si>
    <t>CHLR</t>
  </si>
  <si>
    <t xml:space="preserve"> you insert lines or add data sets.                                   *</t>
  </si>
  <si>
    <t xml:space="preserve">RESD </t>
  </si>
  <si>
    <t xml:space="preserve">PHIN </t>
  </si>
  <si>
    <t xml:space="preserve">DENS </t>
  </si>
  <si>
    <t xml:space="preserve">GR </t>
  </si>
  <si>
    <t xml:space="preserve">SP </t>
  </si>
  <si>
    <t xml:space="preserve">UMA </t>
  </si>
  <si>
    <t>Montmorillonite</t>
  </si>
  <si>
    <t>MONT</t>
  </si>
  <si>
    <t>ohm-m</t>
  </si>
  <si>
    <t>api</t>
  </si>
  <si>
    <t>mv</t>
  </si>
  <si>
    <t>cu</t>
  </si>
  <si>
    <t>Barite</t>
  </si>
  <si>
    <t>BARI</t>
  </si>
  <si>
    <t xml:space="preserve"> Use spreadsheet commands or write macros to print data, make cross</t>
  </si>
  <si>
    <t>NaFeld</t>
  </si>
  <si>
    <t>Albite</t>
  </si>
  <si>
    <t>ALBT</t>
  </si>
  <si>
    <t xml:space="preserve"> plots, regressions, or save files. Modify equations at your own risk.</t>
  </si>
  <si>
    <t xml:space="preserve">MATRIX </t>
  </si>
  <si>
    <t xml:space="preserve">RMAX </t>
  </si>
  <si>
    <t xml:space="preserve">PHINMA </t>
  </si>
  <si>
    <t xml:space="preserve">DENSMA </t>
  </si>
  <si>
    <t xml:space="preserve">GR0 </t>
  </si>
  <si>
    <t xml:space="preserve">SP0 </t>
  </si>
  <si>
    <t>Anorthite</t>
  </si>
  <si>
    <t>ANOR</t>
  </si>
  <si>
    <t xml:space="preserve">Zoned  </t>
  </si>
  <si>
    <t>K-Feld</t>
  </si>
  <si>
    <t>Orthoclase</t>
  </si>
  <si>
    <t>ORTH</t>
  </si>
  <si>
    <t>Iron</t>
  </si>
  <si>
    <t>Siderite</t>
  </si>
  <si>
    <t>SIDR</t>
  </si>
  <si>
    <t xml:space="preserve">SHALE </t>
  </si>
  <si>
    <t xml:space="preserve">RSH </t>
  </si>
  <si>
    <t xml:space="preserve">PHINSH </t>
  </si>
  <si>
    <t xml:space="preserve">DENSSH </t>
  </si>
  <si>
    <t xml:space="preserve">GR100 </t>
  </si>
  <si>
    <t xml:space="preserve">SP100 </t>
  </si>
  <si>
    <t xml:space="preserve">USH </t>
  </si>
  <si>
    <t>feet</t>
  </si>
  <si>
    <t>Ankerite</t>
  </si>
  <si>
    <t>ANKR</t>
  </si>
  <si>
    <t xml:space="preserve">             META/LOG GENERAL TERMS AND CONDITIONS                   </t>
  </si>
  <si>
    <t>us/ft</t>
  </si>
  <si>
    <t>Pyrite</t>
  </si>
  <si>
    <t>PYRT</t>
  </si>
  <si>
    <t>PHIDSH-&gt;</t>
  </si>
  <si>
    <t>psi</t>
  </si>
  <si>
    <t>Evaps</t>
  </si>
  <si>
    <t>Fluorite</t>
  </si>
  <si>
    <t>FLRT</t>
  </si>
  <si>
    <t xml:space="preserve"> Interpretations of logs, whether made directly from original logs </t>
  </si>
  <si>
    <t xml:space="preserve">WATER </t>
  </si>
  <si>
    <t xml:space="preserve">RW </t>
  </si>
  <si>
    <t xml:space="preserve">PHINW </t>
  </si>
  <si>
    <t xml:space="preserve">DENSW </t>
  </si>
  <si>
    <t xml:space="preserve">UW </t>
  </si>
  <si>
    <t>Mcf/d</t>
  </si>
  <si>
    <t>meters</t>
  </si>
  <si>
    <t>Halite</t>
  </si>
  <si>
    <t>SALT</t>
  </si>
  <si>
    <t xml:space="preserve"> or by electronic data processing from actual or digitized data, or </t>
  </si>
  <si>
    <t>gm/cc</t>
  </si>
  <si>
    <t>us/m</t>
  </si>
  <si>
    <t>Sylvite</t>
  </si>
  <si>
    <t>SYLV</t>
  </si>
  <si>
    <t xml:space="preserve"> from electrically transmitted data or otherwise, or any recommend- </t>
  </si>
  <si>
    <t xml:space="preserve">  Use RW calculator in cell K46, or type value</t>
  </si>
  <si>
    <t>inches</t>
  </si>
  <si>
    <t>KPa</t>
  </si>
  <si>
    <t>Carnalite</t>
  </si>
  <si>
    <t>CARN</t>
  </si>
  <si>
    <t xml:space="preserve"> ation based upon such interpretations, are opinions based on infer-</t>
  </si>
  <si>
    <t xml:space="preserve">OIL/GAS </t>
  </si>
  <si>
    <t xml:space="preserve">RMF   </t>
  </si>
  <si>
    <t xml:space="preserve">PHINHY </t>
  </si>
  <si>
    <t xml:space="preserve">DENSHY </t>
  </si>
  <si>
    <t xml:space="preserve">   UHY </t>
  </si>
  <si>
    <t>'F</t>
  </si>
  <si>
    <t>bbl/d</t>
  </si>
  <si>
    <t>m3/d</t>
  </si>
  <si>
    <t>Coal</t>
  </si>
  <si>
    <t>Anthracite</t>
  </si>
  <si>
    <t>ANTH</t>
  </si>
  <si>
    <t xml:space="preserve"> ences from physical or other measurements, empirical factors, and  </t>
  </si>
  <si>
    <t>Kg/m3</t>
  </si>
  <si>
    <t>Lignite</t>
  </si>
  <si>
    <t>LIGN</t>
  </si>
  <si>
    <t xml:space="preserve"> assumptions. Such inferences are not infallible and different    </t>
  </si>
  <si>
    <t>md-ft</t>
  </si>
  <si>
    <t>mm</t>
  </si>
  <si>
    <t xml:space="preserve"> opinions may exist. Acordingly we do not warrant the accuracy or  </t>
  </si>
  <si>
    <t xml:space="preserve">LITH1 </t>
  </si>
  <si>
    <t xml:space="preserve"> PE1 </t>
  </si>
  <si>
    <t xml:space="preserve">PHIN1 </t>
  </si>
  <si>
    <t xml:space="preserve">DENS1 </t>
  </si>
  <si>
    <t xml:space="preserve">MLITH1 </t>
  </si>
  <si>
    <t xml:space="preserve">NLITH1 </t>
  </si>
  <si>
    <t xml:space="preserve">UMA1  </t>
  </si>
  <si>
    <t>** NOTE: Use</t>
  </si>
  <si>
    <t>mcf</t>
  </si>
  <si>
    <t>'C</t>
  </si>
  <si>
    <t xml:space="preserve"> correctness of any such interpretation or recommendation. Under no </t>
  </si>
  <si>
    <t>From KNOWLEDGE</t>
  </si>
  <si>
    <t>$/mcf</t>
  </si>
  <si>
    <t>Metric</t>
  </si>
  <si>
    <t xml:space="preserve"> circumstances  should any such interpretation or recommendation be </t>
  </si>
  <si>
    <t xml:space="preserve">to get values </t>
  </si>
  <si>
    <t>bbl/psi</t>
  </si>
  <si>
    <t>md-m</t>
  </si>
  <si>
    <t xml:space="preserve"> relied upon as the sole basis for any production. completion, or   </t>
  </si>
  <si>
    <t xml:space="preserve">LITH2 </t>
  </si>
  <si>
    <t xml:space="preserve">PE2 </t>
  </si>
  <si>
    <t xml:space="preserve">PHIN2 </t>
  </si>
  <si>
    <t xml:space="preserve">DENS2 </t>
  </si>
  <si>
    <t xml:space="preserve">MLITH2 </t>
  </si>
  <si>
    <t xml:space="preserve">NLITH2 </t>
  </si>
  <si>
    <t xml:space="preserve">UMA2  </t>
  </si>
  <si>
    <t>for LITH1-&gt;3</t>
  </si>
  <si>
    <t>MMcf</t>
  </si>
  <si>
    <t>bbl</t>
  </si>
  <si>
    <t>m3</t>
  </si>
  <si>
    <t xml:space="preserve"> financial decision. We do not guarantee results. We make no warran-</t>
  </si>
  <si>
    <t xml:space="preserve"> Mcf/d</t>
  </si>
  <si>
    <t>$/bbl</t>
  </si>
  <si>
    <t>$/m3</t>
  </si>
  <si>
    <t xml:space="preserve"> ties, express or implied. Under no circumstances shall we be liable</t>
  </si>
  <si>
    <t>BASE area.</t>
  </si>
  <si>
    <t>cu.ft.</t>
  </si>
  <si>
    <t>m3/KPa</t>
  </si>
  <si>
    <t xml:space="preserve"> for consequential damages.                                         </t>
  </si>
  <si>
    <t xml:space="preserve">LITH3 </t>
  </si>
  <si>
    <t xml:space="preserve">PE3 </t>
  </si>
  <si>
    <t xml:space="preserve">PHIN3 </t>
  </si>
  <si>
    <t xml:space="preserve">DENS3 </t>
  </si>
  <si>
    <t xml:space="preserve">MLITH3 </t>
  </si>
  <si>
    <t xml:space="preserve">NLITH3 </t>
  </si>
  <si>
    <t xml:space="preserve">UMA3 </t>
  </si>
  <si>
    <t xml:space="preserve">  Gas</t>
  </si>
  <si>
    <t>1000bbl</t>
  </si>
  <si>
    <t xml:space="preserve">                                                                     *</t>
  </si>
  <si>
    <t>10^6m3</t>
  </si>
  <si>
    <t xml:space="preserve"> bbl/d</t>
  </si>
  <si>
    <t xml:space="preserve"> This software is protected by copyright, and may not be reproduced </t>
  </si>
  <si>
    <t xml:space="preserve"> or copied in any form, or used on a computer for which it was not  </t>
  </si>
  <si>
    <t>XXXX--&gt;   LOGUNITS</t>
  </si>
  <si>
    <t xml:space="preserve"> Ss=2650, Ls=2710 (2.65 or 2.71 USA Units)</t>
  </si>
  <si>
    <t xml:space="preserve">  Oil</t>
  </si>
  <si>
    <t xml:space="preserve"> acquired directly from the supplier, without payment of a fee and  </t>
  </si>
  <si>
    <t>10^3m3</t>
  </si>
  <si>
    <t xml:space="preserve"> permission obtained in writing from the supplier.                  </t>
  </si>
  <si>
    <t>SUFT</t>
  </si>
  <si>
    <t>A</t>
  </si>
  <si>
    <t>ROS in GAS</t>
  </si>
  <si>
    <t>KN</t>
  </si>
  <si>
    <t xml:space="preserve"> SPECTRUM 2000 MINDWARE LTD          C. 1984-2001        403-845-2527</t>
  </si>
  <si>
    <t xml:space="preserve">                              WATER RESISTIVITY CALCULATOR</t>
  </si>
  <si>
    <t>BHT</t>
  </si>
  <si>
    <t>CP</t>
  </si>
  <si>
    <t>KD</t>
  </si>
  <si>
    <t xml:space="preserve">                Choose ALL desired methods, fill HIGHLIGHTED cells</t>
  </si>
  <si>
    <t>SALINITY (1)</t>
  </si>
  <si>
    <t>WATER ZONE (3)</t>
  </si>
  <si>
    <t xml:space="preserve">   Inputs needed for</t>
  </si>
  <si>
    <t>SSP      (2)</t>
  </si>
  <si>
    <t>CATALOG    (4)</t>
  </si>
  <si>
    <t>BHTDEPTH</t>
  </si>
  <si>
    <t>N</t>
  </si>
  <si>
    <t>CPERM</t>
  </si>
  <si>
    <t>KS</t>
  </si>
  <si>
    <t xml:space="preserve">      method #---v</t>
  </si>
  <si>
    <t>MINIMUM    (5)</t>
  </si>
  <si>
    <t xml:space="preserve">   1,      5</t>
  </si>
  <si>
    <t>Water salinity (NaCl).............?</t>
  </si>
  <si>
    <t>Kppm</t>
  </si>
  <si>
    <t xml:space="preserve">     2,3,  5</t>
  </si>
  <si>
    <t>Water zone or SSP depth...........?</t>
  </si>
  <si>
    <t>TRW</t>
  </si>
  <si>
    <t>KBUCKL</t>
  </si>
  <si>
    <t>PHIMAX</t>
  </si>
  <si>
    <t>GAS ON/OFF</t>
  </si>
  <si>
    <t xml:space="preserve">       3,  5</t>
  </si>
  <si>
    <t>Water zone porosity...............?</t>
  </si>
  <si>
    <t>Water zone resistivity (Ro).......?</t>
  </si>
  <si>
    <t xml:space="preserve">                 0=Oil,1=Gas</t>
  </si>
  <si>
    <t xml:space="preserve">     2,    5</t>
  </si>
  <si>
    <t>Water zone SSP....................?</t>
  </si>
  <si>
    <t xml:space="preserve">      CUTOFFS</t>
  </si>
  <si>
    <t>PERMIN</t>
  </si>
  <si>
    <t>Mud filtrate resistivity (RMF@FT).?</t>
  </si>
  <si>
    <t xml:space="preserve"> TAR MASS</t>
  </si>
  <si>
    <t>Set 1</t>
  </si>
  <si>
    <t xml:space="preserve">         4,5</t>
  </si>
  <si>
    <t>Known water resistivity (RW@TRW)..?</t>
  </si>
  <si>
    <t xml:space="preserve">   CUTOFF</t>
  </si>
  <si>
    <t>Set 2</t>
  </si>
  <si>
    <t>Temperature of RW (TRW)...........?</t>
  </si>
  <si>
    <t>Set 3</t>
  </si>
  <si>
    <t xml:space="preserve">   1,2,3,4,5</t>
  </si>
  <si>
    <t>Surface temperature (SUFT)........?</t>
  </si>
  <si>
    <t>Bottom hole temperature (BHT).....?</t>
  </si>
  <si>
    <t>OPTIONS: SHALE</t>
  </si>
  <si>
    <t xml:space="preserve">           POROSITY</t>
  </si>
  <si>
    <t xml:space="preserve">        SATURATION</t>
  </si>
  <si>
    <t xml:space="preserve">     PERMEABILITY</t>
  </si>
  <si>
    <t xml:space="preserve">        LITHOLOGY</t>
  </si>
  <si>
    <t>Bottom hole depth (BHTDEP)........?</t>
  </si>
  <si>
    <t>NONE</t>
  </si>
  <si>
    <t>SONIC</t>
  </si>
  <si>
    <t>ARCHIE</t>
  </si>
  <si>
    <t>WYLLIE</t>
  </si>
  <si>
    <t>Pay zone depth....................?</t>
  </si>
  <si>
    <t>GR</t>
  </si>
  <si>
    <t>DENSITY</t>
  </si>
  <si>
    <t>SIMANDOUX</t>
  </si>
  <si>
    <t>TIMUR</t>
  </si>
  <si>
    <t>DNS/2MIN</t>
  </si>
  <si>
    <t>ANSWERS</t>
  </si>
  <si>
    <t>CLAVIER</t>
  </si>
  <si>
    <t>NEUTRON</t>
  </si>
  <si>
    <t>DUALWATER</t>
  </si>
  <si>
    <t>COATES</t>
  </si>
  <si>
    <t>UMA/2MIN</t>
  </si>
  <si>
    <t>RWsal =</t>
  </si>
  <si>
    <t>RWssp =</t>
  </si>
  <si>
    <t>RWwtr =</t>
  </si>
  <si>
    <t>RWcat =</t>
  </si>
  <si>
    <t>SP</t>
  </si>
  <si>
    <t>SH.SAND</t>
  </si>
  <si>
    <t>BUCKLES</t>
  </si>
  <si>
    <t>POROSITY</t>
  </si>
  <si>
    <t>S-D/2MIN</t>
  </si>
  <si>
    <t>XPLOT</t>
  </si>
  <si>
    <t>N-D/2MIN</t>
  </si>
  <si>
    <t>FINAL RESULT:</t>
  </si>
  <si>
    <t>RW@FT to be used</t>
  </si>
  <si>
    <t>MINIMUM</t>
  </si>
  <si>
    <t>COMPLEX LITHOLOGY</t>
  </si>
  <si>
    <t xml:space="preserve"> Slope=</t>
  </si>
  <si>
    <t>M-N/3MIN</t>
  </si>
  <si>
    <t>Calculated FT:</t>
  </si>
  <si>
    <t>PE/DENSITY/NEUTRON</t>
  </si>
  <si>
    <t xml:space="preserve"> Const=</t>
  </si>
  <si>
    <t>D-PE/3MIN</t>
  </si>
  <si>
    <t>These values are automatically placed into PARAMETERS array,</t>
  </si>
  <si>
    <t>________________________</t>
  </si>
  <si>
    <t>______________________</t>
  </si>
  <si>
    <t>______________</t>
  </si>
  <si>
    <t>unless you have overwritten the RW and TRW cells with values.</t>
  </si>
  <si>
    <t>META/LOG "TAR" RAW DATA</t>
  </si>
  <si>
    <t>META/LOG "TAR" FINAL RESULTS</t>
  </si>
  <si>
    <t xml:space="preserve">    ----------- ZRECALC2 ----------------</t>
  </si>
  <si>
    <t>SHALE</t>
  </si>
  <si>
    <t>PHIDSH</t>
  </si>
  <si>
    <t>PHINSH</t>
  </si>
  <si>
    <t>PHIDDC</t>
  </si>
  <si>
    <t>PHINDC</t>
  </si>
  <si>
    <t>BVWSH</t>
  </si>
  <si>
    <t>PHIDSH(xcm)</t>
  </si>
  <si>
    <t>SATURATION</t>
  </si>
  <si>
    <t xml:space="preserve">  RWSH</t>
  </si>
  <si>
    <t>PERMEABILITY</t>
  </si>
  <si>
    <t>LITHOLOGY</t>
  </si>
  <si>
    <t>CUTOFF SUMS</t>
  </si>
  <si>
    <t>*</t>
  </si>
  <si>
    <t>11-36-72-8W6</t>
  </si>
  <si>
    <t xml:space="preserve">    ZX</t>
  </si>
  <si>
    <t xml:space="preserve">    ZA</t>
  </si>
  <si>
    <t xml:space="preserve">    ZB</t>
  </si>
  <si>
    <t xml:space="preserve">    ZC</t>
  </si>
  <si>
    <t xml:space="preserve">    ZD</t>
  </si>
  <si>
    <t xml:space="preserve">    ZE</t>
  </si>
  <si>
    <t xml:space="preserve">    ZF</t>
  </si>
  <si>
    <t>SUM kh</t>
  </si>
  <si>
    <t xml:space="preserve"> DEPTH</t>
  </si>
  <si>
    <t xml:space="preserve">BOTTOM </t>
  </si>
  <si>
    <t xml:space="preserve">PHID </t>
  </si>
  <si>
    <t xml:space="preserve">PE </t>
  </si>
  <si>
    <t xml:space="preserve">KB_ELV  </t>
  </si>
  <si>
    <t xml:space="preserve">Incr </t>
  </si>
  <si>
    <t xml:space="preserve">Vsh  </t>
  </si>
  <si>
    <t xml:space="preserve">PHIe  </t>
  </si>
  <si>
    <t xml:space="preserve">Perm  </t>
  </si>
  <si>
    <t xml:space="preserve">Rwa  </t>
  </si>
  <si>
    <t xml:space="preserve">Phi*Sw  </t>
  </si>
  <si>
    <t xml:space="preserve">Pay  </t>
  </si>
  <si>
    <t xml:space="preserve">Cum'l  </t>
  </si>
  <si>
    <t xml:space="preserve">DENSma </t>
  </si>
  <si>
    <t xml:space="preserve">Subsea  </t>
  </si>
  <si>
    <t xml:space="preserve"> RW@FT</t>
  </si>
  <si>
    <t>TARwt</t>
  </si>
  <si>
    <t>WTRwt</t>
  </si>
  <si>
    <t>SHLwt</t>
  </si>
  <si>
    <t>MTRwt</t>
  </si>
  <si>
    <t>ROCKwt</t>
  </si>
  <si>
    <t>TARmass</t>
  </si>
  <si>
    <t>TARpay</t>
  </si>
  <si>
    <t>Tf</t>
  </si>
  <si>
    <t>Vshg</t>
  </si>
  <si>
    <t>Clav</t>
  </si>
  <si>
    <t>Vshs</t>
  </si>
  <si>
    <t>Vshx</t>
  </si>
  <si>
    <t>VSHmin</t>
  </si>
  <si>
    <t xml:space="preserve">  Dens</t>
  </si>
  <si>
    <t>PHIDm</t>
  </si>
  <si>
    <t>PHINm</t>
  </si>
  <si>
    <t>PHIsc</t>
  </si>
  <si>
    <t>PHIdc</t>
  </si>
  <si>
    <t>PHInc</t>
  </si>
  <si>
    <t>PHIxss</t>
  </si>
  <si>
    <t>PHIt</t>
  </si>
  <si>
    <t>PHIbvw</t>
  </si>
  <si>
    <t>PHIxnd</t>
  </si>
  <si>
    <t>DENSMA</t>
  </si>
  <si>
    <t>DENSma</t>
  </si>
  <si>
    <t>PHIped</t>
  </si>
  <si>
    <t>PHImax</t>
  </si>
  <si>
    <t xml:space="preserve">  PHIe</t>
  </si>
  <si>
    <t>SWa</t>
  </si>
  <si>
    <t>SWs</t>
  </si>
  <si>
    <t>SWb</t>
  </si>
  <si>
    <t>Swt</t>
  </si>
  <si>
    <t>SWd</t>
  </si>
  <si>
    <t xml:space="preserve">  SWp</t>
  </si>
  <si>
    <t>SWir</t>
  </si>
  <si>
    <t>Spare</t>
  </si>
  <si>
    <t>Permw</t>
  </si>
  <si>
    <t>Permt</t>
  </si>
  <si>
    <t xml:space="preserve"> Permc</t>
  </si>
  <si>
    <t xml:space="preserve"> Permp</t>
  </si>
  <si>
    <t xml:space="preserve"> VROCKd</t>
  </si>
  <si>
    <t xml:space="preserve"> VROCKpe</t>
  </si>
  <si>
    <t>MLITH</t>
  </si>
  <si>
    <t>NLITH</t>
  </si>
  <si>
    <t>VROCKm</t>
  </si>
  <si>
    <t>VROCKn</t>
  </si>
  <si>
    <t>VROCKmn</t>
  </si>
  <si>
    <t>VROCKdu</t>
  </si>
  <si>
    <t xml:space="preserve">    Cutoff Flags</t>
  </si>
  <si>
    <t>Vsh-h</t>
  </si>
  <si>
    <t>Phi-h</t>
  </si>
  <si>
    <t>Hyd-h</t>
  </si>
  <si>
    <t>Perm-h</t>
  </si>
  <si>
    <t>Net-h</t>
  </si>
  <si>
    <t xml:space="preserve"> SW vs CORP</t>
  </si>
  <si>
    <t>KMAX vs CORP</t>
  </si>
  <si>
    <t>Neutron vs Density</t>
  </si>
  <si>
    <t>Resistivity vs Porosity</t>
  </si>
  <si>
    <t xml:space="preserve">ohm-m </t>
  </si>
  <si>
    <t xml:space="preserve">frac </t>
  </si>
  <si>
    <t xml:space="preserve">api </t>
  </si>
  <si>
    <t xml:space="preserve">mv </t>
  </si>
  <si>
    <t xml:space="preserve">cu </t>
  </si>
  <si>
    <t xml:space="preserve">frac  </t>
  </si>
  <si>
    <t xml:space="preserve">md  </t>
  </si>
  <si>
    <t xml:space="preserve">ohm-m  </t>
  </si>
  <si>
    <t xml:space="preserve">Flag  </t>
  </si>
  <si>
    <t xml:space="preserve">KH   </t>
  </si>
  <si>
    <t xml:space="preserve">  ---------------- Lithology Adjusted ---------------</t>
  </si>
  <si>
    <t xml:space="preserve"> - LS Units -</t>
  </si>
  <si>
    <t>no gas</t>
  </si>
  <si>
    <t>for gas</t>
  </si>
  <si>
    <t>final</t>
  </si>
  <si>
    <t>for ped</t>
  </si>
  <si>
    <t>Selected</t>
  </si>
  <si>
    <t xml:space="preserve">   "C"</t>
  </si>
  <si>
    <t xml:space="preserve">   "D"</t>
  </si>
  <si>
    <t>Ro</t>
  </si>
  <si>
    <t xml:space="preserve"> </t>
  </si>
  <si>
    <t>V1</t>
  </si>
  <si>
    <t>Term1</t>
  </si>
  <si>
    <t>Term2</t>
  </si>
  <si>
    <t>V2</t>
  </si>
  <si>
    <t xml:space="preserve">  Set 1</t>
  </si>
  <si>
    <t xml:space="preserve">  Set 2</t>
  </si>
  <si>
    <t xml:space="preserve">  Set 3</t>
  </si>
  <si>
    <t>Tar-h</t>
  </si>
  <si>
    <t xml:space="preserve">  One Log  Shaly Sand</t>
  </si>
  <si>
    <t xml:space="preserve">  Dual Water</t>
  </si>
  <si>
    <t xml:space="preserve">      Complex Lithology</t>
  </si>
  <si>
    <t xml:space="preserve"> PE-Dens-Neut</t>
  </si>
  <si>
    <t xml:space="preserve"> Archie</t>
  </si>
  <si>
    <t xml:space="preserve">      Simandoux</t>
  </si>
  <si>
    <t xml:space="preserve">   ---   Dual Water   ---</t>
  </si>
  <si>
    <t>Buckles</t>
  </si>
  <si>
    <t>Water Saturation - fractional</t>
  </si>
  <si>
    <t>Porosity - fractional</t>
  </si>
  <si>
    <t>Permeability - millidarcies</t>
  </si>
  <si>
    <t>Neutron Porosity - fractional</t>
  </si>
  <si>
    <t>Density Porosity - fractional</t>
  </si>
  <si>
    <t>Deep Resistivity -ohm-m</t>
  </si>
  <si>
    <t>Effective Porosity - fractional</t>
  </si>
  <si>
    <t>SUM TAR MASS</t>
  </si>
  <si>
    <t>META/LOG "ESP" SUMMARY DATA</t>
  </si>
  <si>
    <t xml:space="preserve"> COMMENTS:</t>
  </si>
  <si>
    <t xml:space="preserve">    ------ Averages ------</t>
  </si>
  <si>
    <t xml:space="preserve">   ------ Volumes ------</t>
  </si>
  <si>
    <t xml:space="preserve">   ------ Cutoffs ------</t>
  </si>
  <si>
    <t xml:space="preserve">PHIe </t>
  </si>
  <si>
    <t xml:space="preserve">Phi-H  </t>
  </si>
  <si>
    <t xml:space="preserve">K-H  </t>
  </si>
  <si>
    <t xml:space="preserve">Net  </t>
  </si>
  <si>
    <t xml:space="preserve">Sw  </t>
  </si>
  <si>
    <t xml:space="preserve">                        Tar In Place</t>
  </si>
  <si>
    <t xml:space="preserve">Sum Tar    </t>
  </si>
  <si>
    <t xml:space="preserve">Net Tar  </t>
  </si>
  <si>
    <t xml:space="preserve">Avg Tar  </t>
  </si>
  <si>
    <t xml:space="preserve">tonnes/m2  </t>
  </si>
  <si>
    <t xml:space="preserve">meters  </t>
  </si>
  <si>
    <t xml:space="preserve">fraction </t>
  </si>
  <si>
    <t xml:space="preserve">Tar Cutoff = </t>
  </si>
  <si>
    <t>Click on graph to edit scales, titles, or data ranges</t>
  </si>
  <si>
    <t>&lt;---SERIAL NUMBER MUST MATCH ROW NUMBER FROM TOP TO BOTTOM OF ACTIVE ANALYSIS AREA</t>
  </si>
  <si>
    <t>Results Include Tar Plus conventional Oil If Both Co-exist</t>
  </si>
  <si>
    <t xml:space="preserve"> Includes Conv Oil Plus Tar</t>
  </si>
  <si>
    <t xml:space="preserve">  DTC</t>
  </si>
  <si>
    <t xml:space="preserve">DTC </t>
  </si>
  <si>
    <t xml:space="preserve">DTCMA </t>
  </si>
  <si>
    <t xml:space="preserve">DTCSH </t>
  </si>
  <si>
    <t xml:space="preserve">DTCW </t>
  </si>
  <si>
    <t xml:space="preserve">DTCHY </t>
  </si>
  <si>
    <t xml:space="preserve">DTC1 </t>
  </si>
  <si>
    <t xml:space="preserve">DTC2 </t>
  </si>
  <si>
    <t xml:space="preserve">DTC3 </t>
  </si>
  <si>
    <t xml:space="preserve">     ANALYSIS PARAMETERS</t>
  </si>
  <si>
    <t>c. E.R. Crain, P.Eng. 2018</t>
  </si>
  <si>
    <t>Read Terms of Use</t>
  </si>
  <si>
    <t>Well Name</t>
  </si>
  <si>
    <t>PCP Beaverlodge 11-36</t>
  </si>
  <si>
    <t xml:space="preserve">Analyst  </t>
  </si>
  <si>
    <t>Field / Zone</t>
  </si>
  <si>
    <t>Beaverlodge / Halfway</t>
  </si>
  <si>
    <t xml:space="preserve">Date  </t>
  </si>
  <si>
    <t xml:space="preserve"> 2018-09-27</t>
  </si>
  <si>
    <t xml:space="preserve">                 TAR SAND ANALYSIS + SUMS AND AVERAGES</t>
  </si>
  <si>
    <t xml:space="preserve">                    META/LOG "TAR"</t>
  </si>
  <si>
    <t>MORE===&gt;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</si>
</sst>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27">
    <font>
      <sz val="10"/>
      <name val="COUR"/>
    </font>
    <font>
      <b/>
      <sz val="10"/>
      <color indexed="8"/>
      <name val="COUR"/>
    </font>
    <font>
      <b/>
      <sz val="24"/>
      <color indexed="13"/>
      <name val="Times New Roman"/>
    </font>
    <font>
      <b/>
      <sz val="12"/>
      <color indexed="8"/>
      <name val="COUR"/>
    </font>
    <font>
      <b/>
      <sz val="24"/>
      <color indexed="10"/>
      <name val="Times New Roman"/>
    </font>
    <font>
      <b/>
      <sz val="24"/>
      <color indexed="10"/>
      <name val="Times New Roman"/>
    </font>
    <font>
      <b/>
      <sz val="24"/>
      <color indexed="8"/>
      <name val="Times New Roman"/>
    </font>
    <font>
      <b/>
      <sz val="10"/>
      <color indexed="8"/>
      <name val="Arial"/>
    </font>
    <font>
      <b/>
      <sz val="10"/>
      <color indexed="8"/>
      <name val="Arial"/>
    </font>
    <font>
      <b/>
      <sz val="12"/>
      <color indexed="8"/>
      <name val="COUR"/>
    </font>
    <font>
      <sz val="10"/>
      <name val="COUR"/>
    </font>
    <font>
      <b/>
      <sz val="14"/>
      <color indexed="13"/>
      <name val="COUR"/>
    </font>
    <font>
      <b/>
      <sz val="12"/>
      <color indexed="8"/>
      <name val="COUR"/>
    </font>
    <font>
      <b/>
      <sz val="10"/>
      <color indexed="8"/>
      <name val="Arial"/>
    </font>
    <font>
      <b/>
      <sz val="10"/>
      <color indexed="8"/>
      <name val="Arial"/>
    </font>
    <font>
      <b/>
      <sz val="10"/>
      <color indexed="8"/>
      <name val="Arial"/>
    </font>
    <font>
      <b/>
      <sz val="10"/>
      <color indexed="8"/>
      <name val="Arial"/>
    </font>
    <font>
      <b/>
      <sz val="10"/>
      <color indexed="8"/>
      <name val="Arial"/>
    </font>
    <font>
      <sz val="10"/>
      <name val="COUR"/>
    </font>
    <font>
      <sz val="8"/>
      <name val="COUR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13"/>
      <name val="Arial"/>
      <family val="2"/>
    </font>
    <font>
      <u/>
      <sz val="10"/>
      <color theme="10"/>
      <name val="Arial"/>
      <family val="2"/>
    </font>
    <font>
      <b/>
      <sz val="24"/>
      <color indexed="13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lightTrellis">
        <fgColor indexed="12"/>
        <bgColor indexed="9"/>
      </patternFill>
    </fill>
    <fill>
      <patternFill patternType="gray0625">
        <fgColor indexed="10"/>
        <bgColor indexed="9"/>
      </patternFill>
    </fill>
    <fill>
      <patternFill patternType="gray125">
        <fgColor indexed="12"/>
        <bgColor indexed="13"/>
      </patternFill>
    </fill>
    <fill>
      <patternFill patternType="solid">
        <fgColor indexed="10"/>
        <bgColor indexed="64"/>
      </patternFill>
    </fill>
    <fill>
      <patternFill patternType="lightGray">
        <bgColor indexed="15"/>
      </patternFill>
    </fill>
  </fills>
  <borders count="27">
    <border>
      <left/>
      <right/>
      <top/>
      <bottom/>
      <diagonal/>
    </border>
    <border>
      <left/>
      <right/>
      <top style="thick">
        <color indexed="8"/>
      </top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 style="thick">
        <color indexed="10"/>
      </left>
      <right/>
      <top style="thick">
        <color indexed="10"/>
      </top>
      <bottom/>
      <diagonal/>
    </border>
    <border>
      <left/>
      <right/>
      <top style="thick">
        <color indexed="10"/>
      </top>
      <bottom/>
      <diagonal/>
    </border>
    <border>
      <left style="thick">
        <color indexed="10"/>
      </left>
      <right/>
      <top/>
      <bottom/>
      <diagonal/>
    </border>
    <border>
      <left style="thick">
        <color indexed="8"/>
      </left>
      <right/>
      <top style="thick">
        <color indexed="10"/>
      </top>
      <bottom/>
      <diagonal/>
    </border>
    <border>
      <left style="medium">
        <color indexed="8"/>
      </left>
      <right/>
      <top/>
      <bottom/>
      <diagonal/>
    </border>
    <border>
      <left/>
      <right/>
      <top style="medium">
        <color indexed="8"/>
      </top>
      <bottom/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indexed="8"/>
      </left>
      <right/>
      <top style="thick">
        <color indexed="8"/>
      </top>
      <bottom style="thick">
        <color auto="1"/>
      </bottom>
      <diagonal/>
    </border>
    <border>
      <left/>
      <right/>
      <top style="thick">
        <color indexed="8"/>
      </top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 style="thick">
        <color indexed="8"/>
      </top>
      <bottom style="thick">
        <color auto="1"/>
      </bottom>
      <diagonal/>
    </border>
    <border diagonalUp="1">
      <left style="thick">
        <color auto="1"/>
      </left>
      <right/>
      <top style="thick">
        <color indexed="8"/>
      </top>
      <bottom/>
      <diagonal style="thick">
        <color indexed="8"/>
      </diagonal>
    </border>
    <border diagonalUp="1">
      <left style="thick">
        <color auto="1"/>
      </left>
      <right/>
      <top/>
      <bottom/>
      <diagonal style="thick">
        <color indexed="8"/>
      </diagonal>
    </border>
    <border>
      <left style="thick">
        <color auto="1"/>
      </left>
      <right/>
      <top style="medium">
        <color indexed="8"/>
      </top>
      <bottom/>
      <diagonal/>
    </border>
    <border>
      <left style="thick">
        <color auto="1"/>
      </left>
      <right/>
      <top style="thick">
        <color indexed="8"/>
      </top>
      <bottom/>
      <diagonal/>
    </border>
    <border>
      <left style="thick">
        <color auto="1"/>
      </left>
      <right/>
      <top/>
      <bottom style="thick">
        <color indexed="8"/>
      </bottom>
      <diagonal/>
    </border>
    <border>
      <left style="thick">
        <color auto="1"/>
      </left>
      <right/>
      <top style="medium">
        <color indexed="8"/>
      </top>
      <bottom style="medium">
        <color indexed="8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</borders>
  <cellStyleXfs count="2">
    <xf numFmtId="2" fontId="0" fillId="0" borderId="0"/>
    <xf numFmtId="0" fontId="25" fillId="0" borderId="0" applyNumberFormat="0" applyFill="0" applyBorder="0" applyAlignment="0" applyProtection="0"/>
  </cellStyleXfs>
  <cellXfs count="141">
    <xf numFmtId="2" fontId="18" fillId="0" borderId="0" xfId="0" applyFont="1" applyAlignment="1"/>
    <xf numFmtId="2" fontId="2" fillId="3" borderId="1" xfId="0" applyFont="1" applyFill="1" applyBorder="1" applyAlignment="1"/>
    <xf numFmtId="2" fontId="3" fillId="4" borderId="3" xfId="0" applyFont="1" applyFill="1" applyBorder="1" applyAlignment="1">
      <alignment horizontal="right"/>
    </xf>
    <xf numFmtId="2" fontId="4" fillId="4" borderId="3" xfId="0" applyFont="1" applyFill="1" applyBorder="1" applyAlignment="1"/>
    <xf numFmtId="2" fontId="4" fillId="4" borderId="0" xfId="0" applyFont="1" applyFill="1" applyAlignment="1"/>
    <xf numFmtId="2" fontId="5" fillId="5" borderId="3" xfId="0" applyFont="1" applyFill="1" applyBorder="1" applyAlignment="1">
      <alignment horizontal="right"/>
    </xf>
    <xf numFmtId="2" fontId="6" fillId="6" borderId="3" xfId="0" applyFont="1" applyFill="1" applyBorder="1" applyAlignment="1"/>
    <xf numFmtId="2" fontId="6" fillId="6" borderId="0" xfId="0" applyFont="1" applyFill="1" applyAlignment="1"/>
    <xf numFmtId="2" fontId="6" fillId="6" borderId="0" xfId="0" applyNumberFormat="1" applyFont="1" applyFill="1" applyAlignment="1"/>
    <xf numFmtId="2" fontId="7" fillId="6" borderId="3" xfId="0" applyFont="1" applyFill="1" applyBorder="1" applyAlignment="1"/>
    <xf numFmtId="2" fontId="7" fillId="6" borderId="0" xfId="0" applyFont="1" applyFill="1" applyAlignment="1"/>
    <xf numFmtId="2" fontId="8" fillId="5" borderId="1" xfId="0" applyFont="1" applyFill="1" applyBorder="1" applyAlignment="1"/>
    <xf numFmtId="2" fontId="8" fillId="5" borderId="3" xfId="0" applyFont="1" applyFill="1" applyBorder="1" applyAlignment="1"/>
    <xf numFmtId="2" fontId="8" fillId="5" borderId="2" xfId="0" applyFont="1" applyFill="1" applyBorder="1" applyAlignment="1"/>
    <xf numFmtId="2" fontId="8" fillId="5" borderId="0" xfId="0" applyFont="1" applyFill="1" applyAlignment="1"/>
    <xf numFmtId="2" fontId="9" fillId="5" borderId="0" xfId="0" applyFont="1" applyFill="1" applyAlignment="1"/>
    <xf numFmtId="2" fontId="9" fillId="5" borderId="3" xfId="0" applyFont="1" applyFill="1" applyBorder="1" applyAlignment="1"/>
    <xf numFmtId="2" fontId="10" fillId="0" borderId="0" xfId="0" applyFont="1" applyAlignment="1"/>
    <xf numFmtId="2" fontId="12" fillId="4" borderId="3" xfId="0" applyFont="1" applyFill="1" applyBorder="1" applyAlignment="1"/>
    <xf numFmtId="2" fontId="12" fillId="4" borderId="0" xfId="0" applyFont="1" applyFill="1" applyAlignment="1"/>
    <xf numFmtId="2" fontId="13" fillId="4" borderId="0" xfId="0" applyFont="1" applyFill="1" applyAlignment="1">
      <alignment horizontal="right"/>
    </xf>
    <xf numFmtId="2" fontId="14" fillId="4" borderId="0" xfId="0" applyFont="1" applyFill="1" applyAlignment="1"/>
    <xf numFmtId="2" fontId="15" fillId="5" borderId="3" xfId="0" applyFont="1" applyFill="1" applyBorder="1" applyAlignment="1">
      <alignment horizontal="right"/>
    </xf>
    <xf numFmtId="2" fontId="16" fillId="2" borderId="2" xfId="0" applyFont="1" applyFill="1" applyBorder="1" applyAlignment="1"/>
    <xf numFmtId="2" fontId="17" fillId="6" borderId="2" xfId="0" applyFont="1" applyFill="1" applyBorder="1" applyAlignment="1"/>
    <xf numFmtId="2" fontId="20" fillId="5" borderId="2" xfId="0" applyFont="1" applyFill="1" applyBorder="1" applyAlignment="1"/>
    <xf numFmtId="2" fontId="20" fillId="5" borderId="1" xfId="0" applyFont="1" applyFill="1" applyBorder="1" applyAlignment="1"/>
    <xf numFmtId="2" fontId="20" fillId="2" borderId="1" xfId="0" applyFont="1" applyFill="1" applyBorder="1" applyAlignment="1"/>
    <xf numFmtId="2" fontId="20" fillId="5" borderId="3" xfId="0" applyFont="1" applyFill="1" applyBorder="1" applyAlignment="1">
      <alignment horizontal="right"/>
    </xf>
    <xf numFmtId="2" fontId="20" fillId="2" borderId="2" xfId="0" applyFont="1" applyFill="1" applyBorder="1" applyAlignment="1"/>
    <xf numFmtId="2" fontId="20" fillId="6" borderId="2" xfId="0" applyFont="1" applyFill="1" applyBorder="1" applyAlignment="1"/>
    <xf numFmtId="2" fontId="20" fillId="5" borderId="3" xfId="0" applyFont="1" applyFill="1" applyBorder="1" applyAlignment="1"/>
    <xf numFmtId="2" fontId="20" fillId="5" borderId="0" xfId="0" applyFont="1" applyFill="1" applyAlignment="1"/>
    <xf numFmtId="2" fontId="20" fillId="6" borderId="3" xfId="0" applyFont="1" applyFill="1" applyBorder="1" applyAlignment="1"/>
    <xf numFmtId="2" fontId="20" fillId="6" borderId="0" xfId="0" applyFont="1" applyFill="1" applyAlignment="1"/>
    <xf numFmtId="2" fontId="21" fillId="0" borderId="0" xfId="0" applyFont="1" applyAlignment="1"/>
    <xf numFmtId="2" fontId="20" fillId="6" borderId="1" xfId="0" applyFont="1" applyFill="1" applyBorder="1" applyAlignment="1"/>
    <xf numFmtId="2" fontId="21" fillId="0" borderId="1" xfId="0" applyFont="1" applyBorder="1" applyAlignment="1"/>
    <xf numFmtId="2" fontId="20" fillId="2" borderId="3" xfId="0" applyFont="1" applyFill="1" applyBorder="1" applyAlignment="1">
      <alignment horizontal="right"/>
    </xf>
    <xf numFmtId="2" fontId="20" fillId="2" borderId="0" xfId="0" applyFont="1" applyFill="1" applyAlignment="1"/>
    <xf numFmtId="2" fontId="20" fillId="7" borderId="2" xfId="0" applyFont="1" applyFill="1" applyBorder="1" applyAlignment="1"/>
    <xf numFmtId="2" fontId="20" fillId="8" borderId="4" xfId="0" applyFont="1" applyFill="1" applyBorder="1" applyAlignment="1"/>
    <xf numFmtId="2" fontId="20" fillId="8" borderId="5" xfId="0" applyFont="1" applyFill="1" applyBorder="1" applyAlignment="1"/>
    <xf numFmtId="2" fontId="20" fillId="6" borderId="6" xfId="0" applyFont="1" applyFill="1" applyBorder="1" applyAlignment="1"/>
    <xf numFmtId="2" fontId="20" fillId="8" borderId="6" xfId="0" applyFont="1" applyFill="1" applyBorder="1" applyAlignment="1"/>
    <xf numFmtId="2" fontId="20" fillId="8" borderId="0" xfId="0" applyFont="1" applyFill="1" applyAlignment="1"/>
    <xf numFmtId="2" fontId="20" fillId="5" borderId="0" xfId="0" applyFont="1" applyFill="1" applyAlignment="1">
      <alignment horizontal="right"/>
    </xf>
    <xf numFmtId="2" fontId="20" fillId="5" borderId="7" xfId="0" applyFont="1" applyFill="1" applyBorder="1" applyAlignment="1"/>
    <xf numFmtId="2" fontId="20" fillId="5" borderId="5" xfId="0" applyFont="1" applyFill="1" applyBorder="1" applyAlignment="1"/>
    <xf numFmtId="2" fontId="22" fillId="4" borderId="2" xfId="0" applyFont="1" applyFill="1" applyBorder="1" applyAlignment="1"/>
    <xf numFmtId="2" fontId="22" fillId="4" borderId="1" xfId="0" applyFont="1" applyFill="1" applyBorder="1" applyAlignment="1"/>
    <xf numFmtId="2" fontId="22" fillId="4" borderId="3" xfId="0" applyFont="1" applyFill="1" applyBorder="1" applyAlignment="1"/>
    <xf numFmtId="2" fontId="22" fillId="4" borderId="0" xfId="0" applyFont="1" applyFill="1" applyAlignment="1"/>
    <xf numFmtId="2" fontId="20" fillId="5" borderId="1" xfId="0" applyFont="1" applyFill="1" applyBorder="1" applyAlignment="1">
      <alignment horizontal="right"/>
    </xf>
    <xf numFmtId="2" fontId="20" fillId="2" borderId="0" xfId="0" applyFont="1" applyFill="1" applyAlignment="1">
      <alignment horizontal="right"/>
    </xf>
    <xf numFmtId="2" fontId="20" fillId="9" borderId="2" xfId="0" applyFont="1" applyFill="1" applyBorder="1" applyAlignment="1"/>
    <xf numFmtId="2" fontId="20" fillId="9" borderId="1" xfId="0" applyFont="1" applyFill="1" applyBorder="1" applyAlignment="1"/>
    <xf numFmtId="2" fontId="20" fillId="9" borderId="3" xfId="0" applyFont="1" applyFill="1" applyBorder="1" applyAlignment="1"/>
    <xf numFmtId="2" fontId="20" fillId="9" borderId="0" xfId="0" applyFont="1" applyFill="1" applyAlignment="1"/>
    <xf numFmtId="2" fontId="20" fillId="2" borderId="3" xfId="0" applyFont="1" applyFill="1" applyBorder="1" applyAlignment="1"/>
    <xf numFmtId="2" fontId="20" fillId="5" borderId="1" xfId="0" applyFont="1" applyFill="1" applyBorder="1" applyAlignment="1" applyProtection="1">
      <protection hidden="1"/>
    </xf>
    <xf numFmtId="2" fontId="20" fillId="4" borderId="2" xfId="0" applyFont="1" applyFill="1" applyBorder="1" applyAlignment="1"/>
    <xf numFmtId="2" fontId="20" fillId="4" borderId="1" xfId="0" applyFont="1" applyFill="1" applyBorder="1" applyAlignment="1"/>
    <xf numFmtId="2" fontId="20" fillId="4" borderId="3" xfId="0" applyFont="1" applyFill="1" applyBorder="1" applyAlignment="1"/>
    <xf numFmtId="2" fontId="20" fillId="4" borderId="0" xfId="0" applyFont="1" applyFill="1" applyAlignment="1"/>
    <xf numFmtId="165" fontId="20" fillId="6" borderId="2" xfId="0" applyNumberFormat="1" applyFont="1" applyFill="1" applyBorder="1" applyAlignment="1" applyProtection="1">
      <protection locked="0"/>
    </xf>
    <xf numFmtId="2" fontId="20" fillId="2" borderId="1" xfId="0" applyFont="1" applyFill="1" applyBorder="1" applyAlignment="1">
      <alignment horizontal="right"/>
    </xf>
    <xf numFmtId="2" fontId="21" fillId="0" borderId="3" xfId="0" applyFont="1" applyBorder="1"/>
    <xf numFmtId="2" fontId="20" fillId="11" borderId="1" xfId="0" applyFont="1" applyFill="1" applyBorder="1" applyAlignment="1"/>
    <xf numFmtId="165" fontId="20" fillId="11" borderId="1" xfId="0" applyNumberFormat="1" applyFont="1" applyFill="1" applyBorder="1" applyAlignment="1"/>
    <xf numFmtId="1" fontId="20" fillId="5" borderId="1" xfId="0" applyNumberFormat="1" applyFont="1" applyFill="1" applyBorder="1" applyAlignment="1" applyProtection="1">
      <protection hidden="1"/>
    </xf>
    <xf numFmtId="165" fontId="20" fillId="6" borderId="1" xfId="0" applyNumberFormat="1" applyFont="1" applyFill="1" applyBorder="1" applyAlignment="1"/>
    <xf numFmtId="164" fontId="20" fillId="6" borderId="1" xfId="0" applyNumberFormat="1" applyFont="1" applyFill="1" applyBorder="1" applyAlignment="1"/>
    <xf numFmtId="164" fontId="20" fillId="6" borderId="0" xfId="0" applyNumberFormat="1" applyFont="1" applyFill="1" applyAlignment="1"/>
    <xf numFmtId="1" fontId="20" fillId="6" borderId="0" xfId="0" applyNumberFormat="1" applyFont="1" applyFill="1" applyAlignment="1"/>
    <xf numFmtId="165" fontId="20" fillId="5" borderId="0" xfId="0" applyNumberFormat="1" applyFont="1" applyFill="1" applyAlignment="1"/>
    <xf numFmtId="165" fontId="20" fillId="6" borderId="0" xfId="0" applyNumberFormat="1" applyFont="1" applyFill="1" applyAlignment="1"/>
    <xf numFmtId="2" fontId="23" fillId="11" borderId="2" xfId="0" applyFont="1" applyFill="1" applyBorder="1" applyAlignment="1"/>
    <xf numFmtId="2" fontId="23" fillId="11" borderId="1" xfId="0" applyFont="1" applyFill="1" applyBorder="1" applyAlignment="1"/>
    <xf numFmtId="164" fontId="20" fillId="11" borderId="1" xfId="0" applyNumberFormat="1" applyFont="1" applyFill="1" applyBorder="1" applyAlignment="1"/>
    <xf numFmtId="2" fontId="21" fillId="0" borderId="1" xfId="0" applyFont="1" applyBorder="1"/>
    <xf numFmtId="2" fontId="23" fillId="11" borderId="3" xfId="0" applyFont="1" applyFill="1" applyBorder="1" applyAlignment="1"/>
    <xf numFmtId="2" fontId="23" fillId="11" borderId="0" xfId="0" applyFont="1" applyFill="1" applyAlignment="1"/>
    <xf numFmtId="164" fontId="20" fillId="2" borderId="1" xfId="0" applyNumberFormat="1" applyFont="1" applyFill="1" applyBorder="1" applyAlignment="1"/>
    <xf numFmtId="164" fontId="20" fillId="2" borderId="0" xfId="0" applyNumberFormat="1" applyFont="1" applyFill="1" applyAlignment="1">
      <alignment horizontal="right"/>
    </xf>
    <xf numFmtId="2" fontId="20" fillId="2" borderId="3" xfId="0" applyFont="1" applyFill="1" applyBorder="1" applyAlignment="1">
      <alignment horizontal="left"/>
    </xf>
    <xf numFmtId="1" fontId="20" fillId="6" borderId="1" xfId="0" applyNumberFormat="1" applyFont="1" applyFill="1" applyBorder="1" applyAlignment="1"/>
    <xf numFmtId="164" fontId="20" fillId="6" borderId="0" xfId="0" applyNumberFormat="1" applyFont="1" applyFill="1" applyAlignment="1">
      <alignment horizontal="left"/>
    </xf>
    <xf numFmtId="164" fontId="20" fillId="6" borderId="3" xfId="0" applyNumberFormat="1" applyFont="1" applyFill="1" applyBorder="1" applyAlignment="1"/>
    <xf numFmtId="2" fontId="20" fillId="5" borderId="0" xfId="0" applyFont="1" applyFill="1" applyAlignment="1">
      <alignment horizontal="fill"/>
    </xf>
    <xf numFmtId="165" fontId="20" fillId="6" borderId="0" xfId="0" applyNumberFormat="1" applyFont="1" applyFill="1" applyBorder="1" applyAlignment="1"/>
    <xf numFmtId="164" fontId="20" fillId="6" borderId="0" xfId="0" applyNumberFormat="1" applyFont="1" applyFill="1" applyBorder="1" applyAlignment="1"/>
    <xf numFmtId="2" fontId="20" fillId="6" borderId="0" xfId="0" applyFont="1" applyFill="1" applyBorder="1" applyAlignment="1"/>
    <xf numFmtId="2" fontId="1" fillId="6" borderId="0" xfId="0" applyNumberFormat="1" applyFont="1" applyFill="1" applyAlignment="1"/>
    <xf numFmtId="2" fontId="1" fillId="5" borderId="0" xfId="0" applyNumberFormat="1" applyFont="1" applyFill="1" applyAlignment="1"/>
    <xf numFmtId="2" fontId="11" fillId="3" borderId="0" xfId="0" applyNumberFormat="1" applyFont="1" applyFill="1" applyAlignment="1"/>
    <xf numFmtId="2" fontId="3" fillId="4" borderId="8" xfId="0" applyNumberFormat="1" applyFont="1" applyFill="1" applyBorder="1" applyAlignment="1">
      <alignment horizontal="right"/>
    </xf>
    <xf numFmtId="2" fontId="24" fillId="3" borderId="0" xfId="0" applyNumberFormat="1" applyFont="1" applyFill="1" applyAlignment="1"/>
    <xf numFmtId="2" fontId="20" fillId="4" borderId="8" xfId="0" applyNumberFormat="1" applyFont="1" applyFill="1" applyBorder="1" applyAlignment="1">
      <alignment horizontal="right"/>
    </xf>
    <xf numFmtId="2" fontId="10" fillId="0" borderId="0" xfId="0" applyNumberFormat="1" applyFont="1" applyAlignment="1"/>
    <xf numFmtId="2" fontId="3" fillId="2" borderId="9" xfId="0" applyNumberFormat="1" applyFont="1" applyFill="1" applyBorder="1" applyAlignment="1"/>
    <xf numFmtId="2" fontId="1" fillId="5" borderId="9" xfId="0" applyNumberFormat="1" applyFont="1" applyFill="1" applyBorder="1" applyAlignment="1"/>
    <xf numFmtId="2" fontId="20" fillId="2" borderId="8" xfId="0" applyNumberFormat="1" applyFont="1" applyFill="1" applyBorder="1" applyAlignment="1">
      <alignment horizontal="right"/>
    </xf>
    <xf numFmtId="0" fontId="20" fillId="0" borderId="0" xfId="0" applyNumberFormat="1" applyFont="1" applyAlignment="1"/>
    <xf numFmtId="0" fontId="20" fillId="0" borderId="2" xfId="0" applyNumberFormat="1" applyFont="1" applyBorder="1" applyAlignment="1"/>
    <xf numFmtId="0" fontId="20" fillId="0" borderId="1" xfId="0" applyNumberFormat="1" applyFont="1" applyBorder="1" applyAlignment="1"/>
    <xf numFmtId="0" fontId="20" fillId="0" borderId="12" xfId="0" applyNumberFormat="1" applyFont="1" applyBorder="1" applyAlignment="1"/>
    <xf numFmtId="0" fontId="20" fillId="0" borderId="13" xfId="0" applyNumberFormat="1" applyFont="1" applyBorder="1" applyAlignment="1"/>
    <xf numFmtId="0" fontId="20" fillId="0" borderId="0" xfId="0" applyNumberFormat="1" applyFont="1" applyAlignment="1">
      <alignment horizontal="right"/>
    </xf>
    <xf numFmtId="0" fontId="20" fillId="0" borderId="14" xfId="0" applyNumberFormat="1" applyFont="1" applyBorder="1" applyAlignment="1"/>
    <xf numFmtId="0" fontId="20" fillId="0" borderId="15" xfId="0" applyNumberFormat="1" applyFont="1" applyBorder="1" applyAlignment="1"/>
    <xf numFmtId="0" fontId="20" fillId="0" borderId="16" xfId="0" applyNumberFormat="1" applyFont="1" applyBorder="1" applyAlignment="1"/>
    <xf numFmtId="0" fontId="20" fillId="0" borderId="0" xfId="0" applyNumberFormat="1" applyFont="1" applyBorder="1" applyAlignment="1"/>
    <xf numFmtId="15" fontId="20" fillId="0" borderId="14" xfId="0" applyNumberFormat="1" applyFont="1" applyBorder="1" applyAlignment="1"/>
    <xf numFmtId="0" fontId="20" fillId="0" borderId="17" xfId="0" applyNumberFormat="1" applyFont="1" applyBorder="1" applyAlignment="1"/>
    <xf numFmtId="2" fontId="1" fillId="5" borderId="0" xfId="0" applyNumberFormat="1" applyFont="1" applyFill="1" applyBorder="1" applyAlignment="1">
      <alignment horizontal="right"/>
    </xf>
    <xf numFmtId="2" fontId="1" fillId="5" borderId="0" xfId="0" applyNumberFormat="1" applyFont="1" applyFill="1" applyBorder="1" applyAlignment="1"/>
    <xf numFmtId="2" fontId="26" fillId="3" borderId="18" xfId="0" applyFont="1" applyFill="1" applyBorder="1" applyAlignment="1"/>
    <xf numFmtId="2" fontId="11" fillId="3" borderId="19" xfId="0" applyNumberFormat="1" applyFont="1" applyFill="1" applyBorder="1" applyAlignment="1"/>
    <xf numFmtId="2" fontId="10" fillId="0" borderId="19" xfId="0" applyNumberFormat="1" applyFont="1" applyBorder="1" applyAlignment="1"/>
    <xf numFmtId="2" fontId="1" fillId="5" borderId="20" xfId="0" applyNumberFormat="1" applyFont="1" applyFill="1" applyBorder="1" applyAlignment="1"/>
    <xf numFmtId="2" fontId="1" fillId="5" borderId="13" xfId="0" applyNumberFormat="1" applyFont="1" applyFill="1" applyBorder="1" applyAlignment="1"/>
    <xf numFmtId="2" fontId="20" fillId="5" borderId="13" xfId="0" applyFont="1" applyFill="1" applyBorder="1" applyAlignment="1"/>
    <xf numFmtId="2" fontId="20" fillId="2" borderId="21" xfId="0" applyFont="1" applyFill="1" applyBorder="1" applyAlignment="1"/>
    <xf numFmtId="2" fontId="20" fillId="6" borderId="21" xfId="0" applyFont="1" applyFill="1" applyBorder="1" applyAlignment="1"/>
    <xf numFmtId="2" fontId="20" fillId="5" borderId="21" xfId="0" applyFont="1" applyFill="1" applyBorder="1" applyAlignment="1"/>
    <xf numFmtId="2" fontId="20" fillId="5" borderId="13" xfId="0" applyFont="1" applyFill="1" applyBorder="1" applyAlignment="1">
      <alignment horizontal="right"/>
    </xf>
    <xf numFmtId="2" fontId="23" fillId="10" borderId="13" xfId="0" applyFont="1" applyFill="1" applyBorder="1" applyAlignment="1"/>
    <xf numFmtId="2" fontId="20" fillId="2" borderId="13" xfId="0" applyFont="1" applyFill="1" applyBorder="1" applyAlignment="1"/>
    <xf numFmtId="2" fontId="20" fillId="11" borderId="21" xfId="0" applyFont="1" applyFill="1" applyBorder="1" applyAlignment="1"/>
    <xf numFmtId="165" fontId="20" fillId="6" borderId="21" xfId="0" applyNumberFormat="1" applyFont="1" applyFill="1" applyBorder="1" applyAlignment="1"/>
    <xf numFmtId="165" fontId="20" fillId="6" borderId="13" xfId="0" applyNumberFormat="1" applyFont="1" applyFill="1" applyBorder="1" applyAlignment="1"/>
    <xf numFmtId="165" fontId="20" fillId="6" borderId="22" xfId="0" applyNumberFormat="1" applyFont="1" applyFill="1" applyBorder="1" applyAlignment="1"/>
    <xf numFmtId="2" fontId="1" fillId="2" borderId="23" xfId="0" applyNumberFormat="1" applyFont="1" applyFill="1" applyBorder="1" applyAlignment="1"/>
    <xf numFmtId="2" fontId="20" fillId="2" borderId="24" xfId="0" applyFont="1" applyFill="1" applyBorder="1" applyAlignment="1"/>
    <xf numFmtId="2" fontId="20" fillId="2" borderId="25" xfId="0" applyFont="1" applyFill="1" applyBorder="1" applyAlignment="1">
      <alignment horizontal="centerContinuous"/>
    </xf>
    <xf numFmtId="2" fontId="25" fillId="2" borderId="10" xfId="1" applyNumberFormat="1" applyFill="1" applyBorder="1" applyAlignment="1">
      <alignment horizontal="center"/>
    </xf>
    <xf numFmtId="2" fontId="25" fillId="2" borderId="11" xfId="1" applyNumberFormat="1" applyFill="1" applyBorder="1" applyAlignment="1">
      <alignment horizontal="center"/>
    </xf>
    <xf numFmtId="2" fontId="20" fillId="2" borderId="26" xfId="0" applyFont="1" applyFill="1" applyBorder="1" applyAlignment="1"/>
    <xf numFmtId="2" fontId="20" fillId="2" borderId="0" xfId="0" applyFont="1" applyFill="1" applyBorder="1" applyAlignment="1"/>
    <xf numFmtId="2" fontId="20" fillId="5" borderId="26" xfId="0" applyFont="1" applyFill="1" applyBorder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CA"/>
              <a:t>META/</a:t>
            </a:r>
            <a:r>
              <a:rPr lang="en-CA" sz="1200" b="1" i="0" u="none" strike="noStrike" baseline="0">
                <a:effectLst/>
              </a:rPr>
              <a:t>LOG</a:t>
            </a:r>
            <a:r>
              <a:rPr lang="en-CA"/>
              <a:t> CROSSPLOT</a:t>
            </a:r>
          </a:p>
        </c:rich>
      </c:tx>
      <c:layout>
        <c:manualLayout>
          <c:xMode val="edge"/>
          <c:yMode val="edge"/>
          <c:x val="0.22881419054055918"/>
          <c:y val="3.274563221430284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751472434102539"/>
          <c:y val="0.18387931935723906"/>
          <c:w val="0.61299604132470797"/>
          <c:h val="0.6397992755717633"/>
        </c:manualLayout>
      </c:layout>
      <c:scatterChart>
        <c:scatterStyle val="lineMarker"/>
        <c:varyColors val="0"/>
        <c:ser>
          <c:idx val="0"/>
          <c:order val="0"/>
          <c:tx>
            <c:v/>
          </c:tx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trendline>
            <c:spPr>
              <a:ln w="38100">
                <a:solidFill>
                  <a:srgbClr val="FF0000"/>
                </a:solidFill>
                <a:prstDash val="solid"/>
              </a:ln>
            </c:spPr>
            <c:trendlineType val="power"/>
            <c:dispRSqr val="0"/>
            <c:dispEq val="0"/>
          </c:trendline>
          <c:xVal>
            <c:numRef>
              <c:f>[1]A!$DJ$73:$DJ$79</c:f>
              <c:numCache>
                <c:formatCode>General</c:formatCode>
                <c:ptCount val="7"/>
                <c:pt idx="0">
                  <c:v>5.7339401311811977E-2</c:v>
                </c:pt>
                <c:pt idx="1">
                  <c:v>0.27890528142899207</c:v>
                </c:pt>
                <c:pt idx="2">
                  <c:v>0.25578542122420922</c:v>
                </c:pt>
                <c:pt idx="3">
                  <c:v>0.2156706045529504</c:v>
                </c:pt>
                <c:pt idx="4">
                  <c:v>0.19453581027162084</c:v>
                </c:pt>
                <c:pt idx="5">
                  <c:v>0.21708016781039011</c:v>
                </c:pt>
                <c:pt idx="6">
                  <c:v>0.32411360788700422</c:v>
                </c:pt>
              </c:numCache>
            </c:numRef>
          </c:xVal>
          <c:yVal>
            <c:numRef>
              <c:f>[1]A!$DK$73:$DK$79</c:f>
              <c:numCache>
                <c:formatCode>General</c:formatCode>
                <c:ptCount val="7"/>
                <c:pt idx="0">
                  <c:v>8.7449947494025446E-2</c:v>
                </c:pt>
                <c:pt idx="1">
                  <c:v>4.7167220589995111E-2</c:v>
                </c:pt>
                <c:pt idx="2">
                  <c:v>0.11786089034634956</c:v>
                </c:pt>
                <c:pt idx="3">
                  <c:v>0.14312790304580275</c:v>
                </c:pt>
                <c:pt idx="4">
                  <c:v>0.18022126325081503</c:v>
                </c:pt>
                <c:pt idx="5">
                  <c:v>0.16041553492288399</c:v>
                </c:pt>
                <c:pt idx="6">
                  <c:v>0.12065525204004117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986624"/>
        <c:axId val="172795392"/>
      </c:scatterChart>
      <c:valAx>
        <c:axId val="14986624"/>
        <c:scaling>
          <c:orientation val="minMax"/>
          <c:max val="1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strRef>
              <c:f>[1]A!$DJ$72</c:f>
              <c:strCache>
                <c:ptCount val="1"/>
                <c:pt idx="0">
                  <c:v>Water Saturation - fractional</c:v>
                </c:pt>
              </c:strCache>
            </c:strRef>
          </c:tx>
          <c:layout>
            <c:manualLayout>
              <c:xMode val="edge"/>
              <c:yMode val="edge"/>
              <c:x val="0.35310831873543086"/>
              <c:y val="0.88916985935760806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000" b="1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in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2795392"/>
        <c:crosses val="autoZero"/>
        <c:crossBetween val="midCat"/>
        <c:majorUnit val="0.2"/>
        <c:minorUnit val="0.05"/>
      </c:valAx>
      <c:valAx>
        <c:axId val="172795392"/>
        <c:scaling>
          <c:orientation val="minMax"/>
          <c:max val="0.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strRef>
              <c:f>[1]A!$DK$72</c:f>
              <c:strCache>
                <c:ptCount val="1"/>
                <c:pt idx="0">
                  <c:v>Porosity - fractional</c:v>
                </c:pt>
              </c:strCache>
            </c:strRef>
          </c:tx>
          <c:layout>
            <c:manualLayout>
              <c:xMode val="edge"/>
              <c:yMode val="edge"/>
              <c:x val="5.0847597897902039E-2"/>
              <c:y val="0.34256969085732208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000" b="1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in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986624"/>
        <c:crosses val="autoZero"/>
        <c:crossBetween val="midCat"/>
        <c:majorUnit val="0.05"/>
        <c:minorUnit val="0.01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372901695195796"/>
          <c:y val="0.47355221971453348"/>
          <c:w val="0.25141312293962675"/>
          <c:h val="0.1234258445000645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CA"/>
              <a:t>META/</a:t>
            </a:r>
            <a:r>
              <a:rPr lang="en-CA" sz="1200" b="1" i="0" u="none" strike="noStrike" baseline="0">
                <a:effectLst/>
              </a:rPr>
              <a:t>LOG</a:t>
            </a:r>
            <a:r>
              <a:rPr lang="en-CA"/>
              <a:t> CROSSPLOT</a:t>
            </a:r>
          </a:p>
        </c:rich>
      </c:tx>
      <c:layout>
        <c:manualLayout>
          <c:xMode val="edge"/>
          <c:yMode val="edge"/>
          <c:x val="0.2303370786516854"/>
          <c:y val="3.274563221430284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629213483146068"/>
          <c:y val="0.18387931935723906"/>
          <c:w val="0.6095505617977528"/>
          <c:h val="0.6397992755717633"/>
        </c:manualLayout>
      </c:layout>
      <c:scatterChart>
        <c:scatterStyle val="lineMarker"/>
        <c:varyColors val="0"/>
        <c:ser>
          <c:idx val="0"/>
          <c:order val="0"/>
          <c:tx>
            <c:v/>
          </c:tx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trendline>
            <c:spPr>
              <a:ln w="38100">
                <a:solidFill>
                  <a:srgbClr val="FF0000"/>
                </a:solidFill>
                <a:prstDash val="solid"/>
              </a:ln>
            </c:spPr>
            <c:trendlineType val="log"/>
            <c:dispRSqr val="0"/>
            <c:dispEq val="0"/>
          </c:trendline>
          <c:xVal>
            <c:numRef>
              <c:f>[1]A!$DL$73:$DL$79</c:f>
              <c:numCache>
                <c:formatCode>General</c:formatCode>
                <c:ptCount val="7"/>
                <c:pt idx="0">
                  <c:v>13.603510937606529</c:v>
                </c:pt>
                <c:pt idx="1">
                  <c:v>1.415559850152779E-2</c:v>
                </c:pt>
                <c:pt idx="2">
                  <c:v>4.1372830197390753</c:v>
                </c:pt>
                <c:pt idx="3">
                  <c:v>18.482637239513263</c:v>
                </c:pt>
                <c:pt idx="4">
                  <c:v>123.65330446522979</c:v>
                </c:pt>
                <c:pt idx="5">
                  <c:v>48.722423364518519</c:v>
                </c:pt>
                <c:pt idx="6">
                  <c:v>4.9903078756751666</c:v>
                </c:pt>
              </c:numCache>
            </c:numRef>
          </c:xVal>
          <c:yVal>
            <c:numRef>
              <c:f>[1]A!$DM$73:$DM$79</c:f>
              <c:numCache>
                <c:formatCode>General</c:formatCode>
                <c:ptCount val="7"/>
                <c:pt idx="0">
                  <c:v>8.7449947494025446E-2</c:v>
                </c:pt>
                <c:pt idx="1">
                  <c:v>4.7167220589995111E-2</c:v>
                </c:pt>
                <c:pt idx="2">
                  <c:v>0.11786089034634956</c:v>
                </c:pt>
                <c:pt idx="3">
                  <c:v>0.14312790304580275</c:v>
                </c:pt>
                <c:pt idx="4">
                  <c:v>0.18022126325081503</c:v>
                </c:pt>
                <c:pt idx="5">
                  <c:v>0.16041553492288399</c:v>
                </c:pt>
                <c:pt idx="6">
                  <c:v>0.12065525204004117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3230720"/>
        <c:axId val="173146880"/>
      </c:scatterChart>
      <c:valAx>
        <c:axId val="173230720"/>
        <c:scaling>
          <c:logBase val="10"/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strRef>
              <c:f>[1]A!$DL$72</c:f>
              <c:strCache>
                <c:ptCount val="1"/>
                <c:pt idx="0">
                  <c:v>Permeability - millidarcies</c:v>
                </c:pt>
              </c:strCache>
            </c:strRef>
          </c:tx>
          <c:layout>
            <c:manualLayout>
              <c:xMode val="edge"/>
              <c:yMode val="edge"/>
              <c:x val="0.2808988764044944"/>
              <c:y val="0.89924543850047045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000" b="1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General" sourceLinked="0"/>
        <c:majorTickMark val="in"/>
        <c:minorTickMark val="in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3146880"/>
        <c:crosses val="autoZero"/>
        <c:crossBetween val="midCat"/>
        <c:majorUnit val="10"/>
        <c:minorUnit val="10"/>
      </c:valAx>
      <c:valAx>
        <c:axId val="173146880"/>
        <c:scaling>
          <c:orientation val="minMax"/>
          <c:max val="0.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strRef>
              <c:f>[1]A!$DM$72</c:f>
              <c:strCache>
                <c:ptCount val="1"/>
                <c:pt idx="0">
                  <c:v>Porosity - fractional</c:v>
                </c:pt>
              </c:strCache>
            </c:strRef>
          </c:tx>
          <c:layout>
            <c:manualLayout>
              <c:xMode val="edge"/>
              <c:yMode val="edge"/>
              <c:x val="5.0561797752808987E-2"/>
              <c:y val="0.34256969085732208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000" b="1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in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3230720"/>
        <c:crossesAt val="0.01"/>
        <c:crossBetween val="midCat"/>
        <c:majorUnit val="0.05"/>
        <c:minorUnit val="0.01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08988764044944"/>
          <c:y val="0.47355221971453348"/>
          <c:w val="0.20786516853932585"/>
          <c:h val="0.1234258445000645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CA"/>
              <a:t>META/</a:t>
            </a:r>
            <a:r>
              <a:rPr lang="en-CA" sz="1200" b="1" i="0" u="none" strike="noStrike" baseline="0">
                <a:effectLst/>
              </a:rPr>
              <a:t>LOG</a:t>
            </a:r>
            <a:r>
              <a:rPr lang="en-CA"/>
              <a:t> CROSSPLOT</a:t>
            </a:r>
          </a:p>
        </c:rich>
      </c:tx>
      <c:layout>
        <c:manualLayout>
          <c:xMode val="edge"/>
          <c:yMode val="edge"/>
          <c:x val="0.22881419054055918"/>
          <c:y val="2.713704206241519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751472434102539"/>
          <c:y val="0.11940298507462686"/>
          <c:w val="0.61299604132470797"/>
          <c:h val="0.75030263158377253"/>
        </c:manualLayout>
      </c:layout>
      <c:scatterChart>
        <c:scatterStyle val="lineMarker"/>
        <c:varyColors val="0"/>
        <c:ser>
          <c:idx val="0"/>
          <c:order val="0"/>
          <c:tx>
            <c:v/>
          </c:tx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[1]A!$DN$73:$DN$79</c:f>
              <c:numCache>
                <c:formatCode>General</c:formatCode>
                <c:ptCount val="7"/>
                <c:pt idx="0">
                  <c:v>0.3</c:v>
                </c:pt>
                <c:pt idx="1">
                  <c:v>0.12925</c:v>
                </c:pt>
                <c:pt idx="2">
                  <c:v>0.1278</c:v>
                </c:pt>
                <c:pt idx="3">
                  <c:v>0.16966666666666699</c:v>
                </c:pt>
                <c:pt idx="4">
                  <c:v>0.17633333333333301</c:v>
                </c:pt>
                <c:pt idx="5">
                  <c:v>0.155</c:v>
                </c:pt>
                <c:pt idx="6">
                  <c:v>0.1295</c:v>
                </c:pt>
              </c:numCache>
            </c:numRef>
          </c:xVal>
          <c:yVal>
            <c:numRef>
              <c:f>[1]A!$DO$73:$DO$79</c:f>
              <c:numCache>
                <c:formatCode>General</c:formatCode>
                <c:ptCount val="7"/>
                <c:pt idx="0">
                  <c:v>0</c:v>
                </c:pt>
                <c:pt idx="1">
                  <c:v>-5.0500000000000003E-2</c:v>
                </c:pt>
                <c:pt idx="2">
                  <c:v>7.6999999999999999E-2</c:v>
                </c:pt>
                <c:pt idx="3">
                  <c:v>0.10299999999999999</c:v>
                </c:pt>
                <c:pt idx="4">
                  <c:v>0.148666666666667</c:v>
                </c:pt>
                <c:pt idx="5">
                  <c:v>0.1265</c:v>
                </c:pt>
                <c:pt idx="6">
                  <c:v>8.0166666666666705E-2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3183744"/>
        <c:axId val="173186048"/>
      </c:scatterChart>
      <c:valAx>
        <c:axId val="173183744"/>
        <c:scaling>
          <c:orientation val="minMax"/>
          <c:max val="0.3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strRef>
              <c:f>[1]A!$DN$72</c:f>
              <c:strCache>
                <c:ptCount val="1"/>
                <c:pt idx="0">
                  <c:v>Neutron Porosity - fractional</c:v>
                </c:pt>
              </c:strCache>
            </c:strRef>
          </c:tx>
          <c:layout>
            <c:manualLayout>
              <c:xMode val="edge"/>
              <c:yMode val="edge"/>
              <c:x val="0.26836232223892742"/>
              <c:y val="0.94301221166892812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000" b="1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in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3186048"/>
        <c:crosses val="autoZero"/>
        <c:crossBetween val="midCat"/>
        <c:majorUnit val="0.05"/>
        <c:minorUnit val="0.01"/>
      </c:valAx>
      <c:valAx>
        <c:axId val="173186048"/>
        <c:scaling>
          <c:orientation val="minMax"/>
          <c:max val="0.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strRef>
              <c:f>[1]A!$DO$72</c:f>
              <c:strCache>
                <c:ptCount val="1"/>
                <c:pt idx="0">
                  <c:v>Density Porosity - fractional</c:v>
                </c:pt>
              </c:strCache>
            </c:strRef>
          </c:tx>
          <c:layout>
            <c:manualLayout>
              <c:xMode val="edge"/>
              <c:yMode val="edge"/>
              <c:x val="5.0847597897902039E-2"/>
              <c:y val="0.38941655359565808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000" b="1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in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3183744"/>
        <c:crosses val="autoZero"/>
        <c:crossBetween val="midCat"/>
        <c:majorUnit val="0.05"/>
        <c:minorUnit val="0.01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0113242941281946"/>
          <c:y val="0.49525101763907736"/>
          <c:w val="7.3446530296969612E-2"/>
          <c:h val="3.256445047489823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CA"/>
              <a:t>META/</a:t>
            </a:r>
            <a:r>
              <a:rPr lang="en-CA" sz="1200" b="1" i="0" u="none" strike="noStrike" baseline="0">
                <a:effectLst/>
              </a:rPr>
              <a:t>LOG</a:t>
            </a:r>
            <a:r>
              <a:rPr lang="en-CA"/>
              <a:t> CROSSPLOT</a:t>
            </a:r>
          </a:p>
        </c:rich>
      </c:tx>
      <c:layout>
        <c:manualLayout>
          <c:xMode val="edge"/>
          <c:yMode val="edge"/>
          <c:x val="0.2303370786516854"/>
          <c:y val="2.713704206241519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629213483146068"/>
          <c:y val="0.11940298507462686"/>
          <c:w val="0.6095505617977528"/>
          <c:h val="0.74191202234139197"/>
        </c:manualLayout>
      </c:layout>
      <c:scatterChart>
        <c:scatterStyle val="lineMarker"/>
        <c:varyColors val="0"/>
        <c:ser>
          <c:idx val="0"/>
          <c:order val="0"/>
          <c:tx>
            <c:v/>
          </c:tx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[1]A!$DP$73:$DP$79</c:f>
              <c:numCache>
                <c:formatCode>General</c:formatCode>
                <c:ptCount val="7"/>
                <c:pt idx="0">
                  <c:v>182.9</c:v>
                </c:pt>
                <c:pt idx="1">
                  <c:v>223.77500000000001</c:v>
                </c:pt>
                <c:pt idx="2">
                  <c:v>63.32</c:v>
                </c:pt>
                <c:pt idx="3">
                  <c:v>54.366666666666703</c:v>
                </c:pt>
                <c:pt idx="4">
                  <c:v>43.933333333333302</c:v>
                </c:pt>
                <c:pt idx="5">
                  <c:v>45.3</c:v>
                </c:pt>
                <c:pt idx="6">
                  <c:v>37.466666666666697</c:v>
                </c:pt>
              </c:numCache>
            </c:numRef>
          </c:xVal>
          <c:yVal>
            <c:numRef>
              <c:f>[1]A!$DQ$73:$DQ$79</c:f>
              <c:numCache>
                <c:formatCode>General</c:formatCode>
                <c:ptCount val="7"/>
                <c:pt idx="0">
                  <c:v>8.7449947494025446E-2</c:v>
                </c:pt>
                <c:pt idx="1">
                  <c:v>4.7167220589995111E-2</c:v>
                </c:pt>
                <c:pt idx="2">
                  <c:v>0.11786089034634956</c:v>
                </c:pt>
                <c:pt idx="3">
                  <c:v>0.14312790304580275</c:v>
                </c:pt>
                <c:pt idx="4">
                  <c:v>0.18022126325081503</c:v>
                </c:pt>
                <c:pt idx="5">
                  <c:v>0.16041553492288399</c:v>
                </c:pt>
                <c:pt idx="6">
                  <c:v>0.12065525204004117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3210624"/>
        <c:axId val="219440640"/>
      </c:scatterChart>
      <c:valAx>
        <c:axId val="173210624"/>
        <c:scaling>
          <c:logBase val="10"/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strRef>
              <c:f>[1]A!$DP$72</c:f>
              <c:strCache>
                <c:ptCount val="1"/>
                <c:pt idx="0">
                  <c:v>Deep Resistivity -ohm-m</c:v>
                </c:pt>
              </c:strCache>
            </c:strRef>
          </c:tx>
          <c:layout>
            <c:manualLayout>
              <c:xMode val="edge"/>
              <c:yMode val="edge"/>
              <c:x val="0.300561797752809"/>
              <c:y val="0.94301221166892812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000" b="1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General" sourceLinked="0"/>
        <c:majorTickMark val="in"/>
        <c:minorTickMark val="in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9440640"/>
        <c:crossesAt val="0.01"/>
        <c:crossBetween val="midCat"/>
      </c:valAx>
      <c:valAx>
        <c:axId val="219440640"/>
        <c:scaling>
          <c:logBase val="10"/>
          <c:orientation val="minMax"/>
          <c:max val="1"/>
          <c:min val="0.0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strRef>
              <c:f>[1]A!$DQ$72</c:f>
              <c:strCache>
                <c:ptCount val="1"/>
                <c:pt idx="0">
                  <c:v>Effective Porosity - fractional</c:v>
                </c:pt>
              </c:strCache>
            </c:strRef>
          </c:tx>
          <c:layout>
            <c:manualLayout>
              <c:xMode val="edge"/>
              <c:yMode val="edge"/>
              <c:x val="5.0561797752808987E-2"/>
              <c:y val="0.38398914518317501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000" b="1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in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3210624"/>
        <c:crossesAt val="10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01685393258427"/>
          <c:y val="0.49525101763907736"/>
          <c:w val="7.3033707865168537E-2"/>
          <c:h val="3.256445047489823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81</xdr:row>
      <xdr:rowOff>0</xdr:rowOff>
    </xdr:from>
    <xdr:to>
      <xdr:col>5</xdr:col>
      <xdr:colOff>66675</xdr:colOff>
      <xdr:row>104</xdr:row>
      <xdr:rowOff>57150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81</xdr:row>
      <xdr:rowOff>0</xdr:rowOff>
    </xdr:from>
    <xdr:to>
      <xdr:col>11</xdr:col>
      <xdr:colOff>152400</xdr:colOff>
      <xdr:row>104</xdr:row>
      <xdr:rowOff>57150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7682</xdr:colOff>
      <xdr:row>105</xdr:row>
      <xdr:rowOff>53773</xdr:rowOff>
    </xdr:from>
    <xdr:to>
      <xdr:col>5</xdr:col>
      <xdr:colOff>74357</xdr:colOff>
      <xdr:row>122</xdr:row>
      <xdr:rowOff>38407</xdr:rowOff>
    </xdr:to>
    <xdr:graphicFrame macro="">
      <xdr:nvGraphicFramePr>
        <xdr:cNvPr id="102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0</xdr:colOff>
      <xdr:row>105</xdr:row>
      <xdr:rowOff>0</xdr:rowOff>
    </xdr:from>
    <xdr:to>
      <xdr:col>11</xdr:col>
      <xdr:colOff>152400</xdr:colOff>
      <xdr:row>122</xdr:row>
      <xdr:rowOff>46088</xdr:rowOff>
    </xdr:to>
    <xdr:graphicFrame macro="">
      <xdr:nvGraphicFramePr>
        <xdr:cNvPr id="102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4metaes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</sheetNames>
    <sheetDataSet>
      <sheetData sheetId="0">
        <row r="72">
          <cell r="DJ72" t="str">
            <v>Water Saturation - fractional</v>
          </cell>
          <cell r="DK72" t="str">
            <v>Porosity - fractional</v>
          </cell>
          <cell r="DL72" t="str">
            <v>Permeability - millidarcies</v>
          </cell>
          <cell r="DM72" t="str">
            <v>Porosity - fractional</v>
          </cell>
          <cell r="DN72" t="str">
            <v>Neutron Porosity - fractional</v>
          </cell>
          <cell r="DO72" t="str">
            <v>Density Porosity - fractional</v>
          </cell>
          <cell r="DP72" t="str">
            <v>Deep Resistivity -ohm-m</v>
          </cell>
          <cell r="DQ72" t="str">
            <v>Effective Porosity - fractional</v>
          </cell>
        </row>
        <row r="73">
          <cell r="DJ73">
            <v>5.7339401311811977E-2</v>
          </cell>
          <cell r="DK73">
            <v>8.7449947494025446E-2</v>
          </cell>
          <cell r="DL73">
            <v>13.603510937606529</v>
          </cell>
          <cell r="DM73">
            <v>8.7449947494025446E-2</v>
          </cell>
          <cell r="DN73">
            <v>0.3</v>
          </cell>
          <cell r="DO73">
            <v>0</v>
          </cell>
          <cell r="DP73">
            <v>182.9</v>
          </cell>
          <cell r="DQ73">
            <v>8.7449947494025446E-2</v>
          </cell>
        </row>
        <row r="74">
          <cell r="DJ74">
            <v>0.27890528142899207</v>
          </cell>
          <cell r="DK74">
            <v>4.7167220589995111E-2</v>
          </cell>
          <cell r="DL74">
            <v>1.415559850152779E-2</v>
          </cell>
          <cell r="DM74">
            <v>4.7167220589995111E-2</v>
          </cell>
          <cell r="DN74">
            <v>0.12925</v>
          </cell>
          <cell r="DO74">
            <v>-5.0500000000000003E-2</v>
          </cell>
          <cell r="DP74">
            <v>223.77500000000001</v>
          </cell>
          <cell r="DQ74">
            <v>4.7167220589995111E-2</v>
          </cell>
        </row>
        <row r="75">
          <cell r="DJ75">
            <v>0.25578542122420922</v>
          </cell>
          <cell r="DK75">
            <v>0.11786089034634956</v>
          </cell>
          <cell r="DL75">
            <v>4.1372830197390753</v>
          </cell>
          <cell r="DM75">
            <v>0.11786089034634956</v>
          </cell>
          <cell r="DN75">
            <v>0.1278</v>
          </cell>
          <cell r="DO75">
            <v>7.6999999999999999E-2</v>
          </cell>
          <cell r="DP75">
            <v>63.32</v>
          </cell>
          <cell r="DQ75">
            <v>0.11786089034634956</v>
          </cell>
        </row>
        <row r="76">
          <cell r="DJ76">
            <v>0.2156706045529504</v>
          </cell>
          <cell r="DK76">
            <v>0.14312790304580275</v>
          </cell>
          <cell r="DL76">
            <v>18.482637239513263</v>
          </cell>
          <cell r="DM76">
            <v>0.14312790304580275</v>
          </cell>
          <cell r="DN76">
            <v>0.16966666666666699</v>
          </cell>
          <cell r="DO76">
            <v>0.10299999999999999</v>
          </cell>
          <cell r="DP76">
            <v>54.366666666666703</v>
          </cell>
          <cell r="DQ76">
            <v>0.14312790304580275</v>
          </cell>
        </row>
        <row r="77">
          <cell r="DJ77">
            <v>0.19453581027162084</v>
          </cell>
          <cell r="DK77">
            <v>0.18022126325081503</v>
          </cell>
          <cell r="DL77">
            <v>123.65330446522979</v>
          </cell>
          <cell r="DM77">
            <v>0.18022126325081503</v>
          </cell>
          <cell r="DN77">
            <v>0.17633333333333301</v>
          </cell>
          <cell r="DO77">
            <v>0.148666666666667</v>
          </cell>
          <cell r="DP77">
            <v>43.933333333333302</v>
          </cell>
          <cell r="DQ77">
            <v>0.18022126325081503</v>
          </cell>
        </row>
        <row r="78">
          <cell r="DJ78">
            <v>0.21708016781039011</v>
          </cell>
          <cell r="DK78">
            <v>0.16041553492288399</v>
          </cell>
          <cell r="DL78">
            <v>48.722423364518519</v>
          </cell>
          <cell r="DM78">
            <v>0.16041553492288399</v>
          </cell>
          <cell r="DN78">
            <v>0.155</v>
          </cell>
          <cell r="DO78">
            <v>0.1265</v>
          </cell>
          <cell r="DP78">
            <v>45.3</v>
          </cell>
          <cell r="DQ78">
            <v>0.16041553492288399</v>
          </cell>
        </row>
        <row r="79">
          <cell r="DJ79">
            <v>0.32411360788700422</v>
          </cell>
          <cell r="DK79">
            <v>0.12065525204004117</v>
          </cell>
          <cell r="DL79">
            <v>4.9903078756751666</v>
          </cell>
          <cell r="DM79">
            <v>0.12065525204004117</v>
          </cell>
          <cell r="DN79">
            <v>0.1295</v>
          </cell>
          <cell r="DO79">
            <v>8.0166666666666705E-2</v>
          </cell>
          <cell r="DP79">
            <v>37.466666666666697</v>
          </cell>
          <cell r="DQ79">
            <v>0.12065525204004117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FF00"/>
      </a:dk1>
      <a:lt1>
        <a:sysClr val="window" lastClr="00000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pec2000.net/00-fineprint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DT165"/>
  <sheetViews>
    <sheetView tabSelected="1" showOutlineSymbols="0" defaultGridColor="0" colorId="15" zoomScale="124" zoomScaleNormal="124" workbookViewId="0"/>
  </sheetViews>
  <sheetFormatPr defaultColWidth="7.7109375" defaultRowHeight="12.75"/>
  <cols>
    <col min="1" max="1" width="10.7109375" customWidth="1"/>
    <col min="2" max="123" width="9.7109375" customWidth="1"/>
  </cols>
  <sheetData>
    <row r="1" spans="1:124" ht="30.75" thickTop="1">
      <c r="A1" s="117" t="s">
        <v>506</v>
      </c>
      <c r="B1" s="1"/>
      <c r="C1" s="1"/>
      <c r="D1" s="1"/>
      <c r="E1" s="1"/>
      <c r="F1" s="1"/>
      <c r="G1" s="1"/>
      <c r="H1" s="1"/>
      <c r="I1" s="1"/>
      <c r="J1" s="1"/>
      <c r="K1" s="2"/>
      <c r="L1" s="4" t="s">
        <v>0</v>
      </c>
      <c r="M1" s="4"/>
      <c r="N1" s="4"/>
      <c r="O1" s="4"/>
      <c r="P1" s="4"/>
      <c r="Q1" s="4"/>
      <c r="R1" s="4"/>
      <c r="S1" s="5"/>
      <c r="T1" s="3" t="s">
        <v>1</v>
      </c>
      <c r="U1" s="4"/>
      <c r="V1" s="4"/>
      <c r="W1" s="4"/>
      <c r="X1" s="4"/>
      <c r="Y1" s="4"/>
      <c r="Z1" s="4"/>
      <c r="AA1" s="4"/>
      <c r="AB1" s="4"/>
      <c r="AC1" s="4"/>
      <c r="AD1" s="4"/>
      <c r="AE1" s="3" t="s">
        <v>2</v>
      </c>
      <c r="AF1" s="4"/>
      <c r="AG1" s="4"/>
      <c r="AH1" s="4"/>
      <c r="AI1" s="4"/>
      <c r="AJ1" s="4"/>
      <c r="AK1" s="4"/>
      <c r="AL1" s="4"/>
      <c r="AM1" s="6"/>
      <c r="AN1" s="7"/>
      <c r="AO1" s="7" t="s">
        <v>3</v>
      </c>
      <c r="AP1" s="8"/>
      <c r="AQ1" s="8"/>
      <c r="AR1" s="8"/>
      <c r="AS1" s="8"/>
      <c r="AT1" s="8"/>
      <c r="AU1" s="10"/>
      <c r="AV1" s="10"/>
      <c r="AW1" s="14"/>
      <c r="AX1" s="14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7"/>
    </row>
    <row r="2" spans="1:124" ht="18.75" thickBot="1">
      <c r="A2" s="118" t="s">
        <v>505</v>
      </c>
      <c r="B2" s="95"/>
      <c r="C2" s="95"/>
      <c r="D2" s="95"/>
      <c r="E2" s="95"/>
      <c r="F2" s="95"/>
      <c r="G2" s="95"/>
      <c r="H2" s="95"/>
      <c r="I2" s="95"/>
      <c r="J2" s="95"/>
      <c r="K2" s="96"/>
      <c r="L2" s="19"/>
      <c r="M2" s="19"/>
      <c r="N2" s="19"/>
      <c r="O2" s="19"/>
      <c r="P2" s="19"/>
      <c r="Q2" s="19"/>
      <c r="R2" s="19"/>
      <c r="S2" s="16"/>
      <c r="T2" s="18"/>
      <c r="U2" s="19"/>
      <c r="V2" s="19"/>
      <c r="W2" s="19"/>
      <c r="X2" s="19"/>
      <c r="Y2" s="19"/>
      <c r="Z2" s="19"/>
      <c r="AA2" s="19"/>
      <c r="AB2" s="19"/>
      <c r="AC2" s="19"/>
      <c r="AD2" s="19"/>
      <c r="AE2" s="18"/>
      <c r="AF2" s="19"/>
      <c r="AG2" s="19"/>
      <c r="AH2" s="19"/>
      <c r="AI2" s="19"/>
      <c r="AJ2" s="19"/>
      <c r="AK2" s="19"/>
      <c r="AL2" s="19"/>
      <c r="AM2" s="9"/>
      <c r="AN2" s="10"/>
      <c r="AO2" s="10"/>
      <c r="AP2" s="10" t="s">
        <v>5</v>
      </c>
      <c r="AQ2" s="10"/>
      <c r="AR2" s="10"/>
      <c r="AS2" s="10"/>
      <c r="AT2" s="10"/>
      <c r="AU2" s="10"/>
      <c r="AV2" s="10"/>
      <c r="AW2" s="14"/>
      <c r="AX2" s="14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7"/>
    </row>
    <row r="3" spans="1:124" ht="19.5" thickTop="1" thickBot="1">
      <c r="A3" s="118" t="s">
        <v>4</v>
      </c>
      <c r="B3" s="97"/>
      <c r="C3" s="97"/>
      <c r="D3" s="97"/>
      <c r="E3" s="97"/>
      <c r="F3" s="97"/>
      <c r="G3" s="97"/>
      <c r="H3" s="97"/>
      <c r="I3" s="97"/>
      <c r="J3" s="97"/>
      <c r="K3" s="98"/>
      <c r="L3" s="21" t="s">
        <v>6</v>
      </c>
      <c r="M3" s="21"/>
      <c r="N3" s="21"/>
      <c r="O3" s="20" t="s">
        <v>7</v>
      </c>
      <c r="P3" s="20" t="s">
        <v>8</v>
      </c>
      <c r="Q3" s="20" t="s">
        <v>9</v>
      </c>
      <c r="R3" s="20" t="s">
        <v>10</v>
      </c>
      <c r="S3" s="22"/>
      <c r="T3" s="23" t="s">
        <v>11</v>
      </c>
      <c r="U3" s="23"/>
      <c r="V3" s="23"/>
      <c r="W3" s="13" t="s">
        <v>12</v>
      </c>
      <c r="X3" s="13" t="s">
        <v>13</v>
      </c>
      <c r="Y3" s="13" t="s">
        <v>14</v>
      </c>
      <c r="Z3" s="13" t="s">
        <v>15</v>
      </c>
      <c r="AA3" s="13" t="s">
        <v>486</v>
      </c>
      <c r="AB3" s="13" t="s">
        <v>16</v>
      </c>
      <c r="AC3" s="13" t="s">
        <v>17</v>
      </c>
      <c r="AD3" s="13" t="s">
        <v>18</v>
      </c>
      <c r="AE3" s="13" t="s">
        <v>19</v>
      </c>
      <c r="AF3" s="11"/>
      <c r="AG3" s="11"/>
      <c r="AH3" s="11"/>
      <c r="AI3" s="11"/>
      <c r="AJ3" s="11"/>
      <c r="AK3" s="11"/>
      <c r="AL3" s="11"/>
      <c r="AM3" s="9"/>
      <c r="AN3" s="10"/>
      <c r="AO3" s="17"/>
      <c r="AP3" s="17"/>
      <c r="AQ3" s="17"/>
      <c r="AR3" s="17"/>
      <c r="AS3" s="17"/>
      <c r="AT3" s="10"/>
      <c r="AU3" s="10"/>
      <c r="AV3" s="10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7"/>
    </row>
    <row r="4" spans="1:124" ht="14.25" thickTop="1" thickBot="1">
      <c r="A4" s="119"/>
      <c r="B4" s="99"/>
      <c r="C4" s="99"/>
      <c r="D4" s="99"/>
      <c r="E4" s="99"/>
      <c r="F4" s="99"/>
      <c r="G4" s="99"/>
      <c r="H4" s="99"/>
      <c r="I4" s="99"/>
      <c r="J4" s="99"/>
      <c r="K4" s="98"/>
      <c r="L4" s="21" t="s">
        <v>20</v>
      </c>
      <c r="M4" s="21" t="s">
        <v>21</v>
      </c>
      <c r="N4" s="21" t="s">
        <v>22</v>
      </c>
      <c r="O4" s="20" t="s">
        <v>23</v>
      </c>
      <c r="P4" s="20" t="s">
        <v>23</v>
      </c>
      <c r="Q4" s="20" t="s">
        <v>23</v>
      </c>
      <c r="R4" s="20" t="s">
        <v>24</v>
      </c>
      <c r="S4" s="22"/>
      <c r="T4" s="23" t="s">
        <v>25</v>
      </c>
      <c r="U4" s="23" t="s">
        <v>26</v>
      </c>
      <c r="V4" s="23"/>
      <c r="W4" s="24" t="s">
        <v>27</v>
      </c>
      <c r="X4" s="24">
        <v>1.80377358490566</v>
      </c>
      <c r="Y4" s="24">
        <v>-2.8000000000000001E-2</v>
      </c>
      <c r="Z4" s="24">
        <f>2.65*$L$15</f>
        <v>2650</v>
      </c>
      <c r="AA4" s="24">
        <f>55.4708930204206*$L$9</f>
        <v>181.99111883340072</v>
      </c>
      <c r="AB4" s="24">
        <f t="shared" ref="AB4:AB28" si="0">0.01*($E$25-AA4)/(Z4-$D$25)/$L$9*$L$15</f>
        <v>0.80320670896714785</v>
      </c>
      <c r="AC4" s="24">
        <f t="shared" ref="AC4:AC28" si="1">($C$25-Y4)/(Z4-$D$25)*$L$15</f>
        <v>0.62303030303030305</v>
      </c>
      <c r="AD4" s="24">
        <f t="shared" ref="AD4:AD28" si="2">Z4*X4/$L$15</f>
        <v>4.7799999999999994</v>
      </c>
      <c r="AE4" s="12" t="s">
        <v>28</v>
      </c>
      <c r="AF4" s="14"/>
      <c r="AG4" s="14"/>
      <c r="AH4" s="14"/>
      <c r="AI4" s="14"/>
      <c r="AJ4" s="14"/>
      <c r="AK4" s="14"/>
      <c r="AL4" s="14"/>
      <c r="AM4" s="9"/>
      <c r="AN4" s="10"/>
      <c r="AO4" s="17"/>
      <c r="AP4" s="17"/>
      <c r="AQ4" s="17"/>
      <c r="AR4" s="17"/>
      <c r="AS4" s="17"/>
      <c r="AT4" s="10"/>
      <c r="AU4" s="10"/>
      <c r="AV4" s="10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7"/>
    </row>
    <row r="5" spans="1:124" ht="15.95" customHeight="1" thickTop="1" thickBot="1">
      <c r="A5" s="133" t="s">
        <v>496</v>
      </c>
      <c r="B5" s="100"/>
      <c r="C5" s="100"/>
      <c r="D5" s="100"/>
      <c r="E5" s="100"/>
      <c r="F5" s="100"/>
      <c r="G5" s="100"/>
      <c r="H5" s="100"/>
      <c r="I5" s="136" t="s">
        <v>497</v>
      </c>
      <c r="J5" s="136"/>
      <c r="K5" s="137"/>
      <c r="L5" s="27">
        <f t="shared" ref="L5:L23" si="3">IF($A$15="M",N5,M5)</f>
        <v>1</v>
      </c>
      <c r="M5" s="27">
        <v>0</v>
      </c>
      <c r="N5" s="27">
        <v>1</v>
      </c>
      <c r="O5" s="27"/>
      <c r="P5" s="27" t="s">
        <v>29</v>
      </c>
      <c r="Q5" s="27"/>
      <c r="R5" s="27"/>
      <c r="S5" s="28"/>
      <c r="T5" s="29"/>
      <c r="U5" s="29" t="s">
        <v>30</v>
      </c>
      <c r="V5" s="29"/>
      <c r="W5" s="30" t="s">
        <v>31</v>
      </c>
      <c r="X5" s="30">
        <v>5.0811808118081201</v>
      </c>
      <c r="Y5" s="30">
        <v>0</v>
      </c>
      <c r="Z5" s="30">
        <f>2.71*$L$15</f>
        <v>2710</v>
      </c>
      <c r="AA5" s="30">
        <f>47.2416946053033*$L$9</f>
        <v>154.99243636910515</v>
      </c>
      <c r="AB5" s="30">
        <f t="shared" si="0"/>
        <v>0.82314798476430828</v>
      </c>
      <c r="AC5" s="30">
        <f t="shared" si="1"/>
        <v>0.58479532163742687</v>
      </c>
      <c r="AD5" s="30">
        <f t="shared" si="2"/>
        <v>13.770000000000005</v>
      </c>
      <c r="AE5" s="31" t="s">
        <v>32</v>
      </c>
      <c r="AF5" s="32"/>
      <c r="AG5" s="32"/>
      <c r="AH5" s="32"/>
      <c r="AI5" s="32"/>
      <c r="AJ5" s="32"/>
      <c r="AK5" s="32"/>
      <c r="AL5" s="32"/>
      <c r="AM5" s="33"/>
      <c r="AN5" s="34"/>
      <c r="AO5" s="34">
        <f t="shared" ref="AO5:AO10" si="4">A6</f>
        <v>0</v>
      </c>
      <c r="AP5" s="34"/>
      <c r="AQ5" s="34">
        <f t="shared" ref="AQ5:AQ10" si="5">C6</f>
        <v>0</v>
      </c>
      <c r="AR5" s="34"/>
      <c r="AS5" s="34"/>
      <c r="AT5" s="34"/>
      <c r="AU5" s="34"/>
      <c r="AV5" s="34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</row>
    <row r="6" spans="1:124" ht="14.25" thickTop="1" thickBot="1">
      <c r="A6" s="120"/>
      <c r="B6" s="101"/>
      <c r="C6" s="101"/>
      <c r="D6" s="101"/>
      <c r="E6" s="101"/>
      <c r="F6" s="101"/>
      <c r="G6" s="101"/>
      <c r="H6" s="101"/>
      <c r="I6" s="101"/>
      <c r="J6" s="101"/>
      <c r="K6" s="102"/>
      <c r="L6" s="39">
        <f t="shared" si="3"/>
        <v>21.5</v>
      </c>
      <c r="M6" s="39">
        <v>6.7</v>
      </c>
      <c r="N6" s="39">
        <v>21.5</v>
      </c>
      <c r="O6" s="39">
        <f>C54</f>
        <v>1</v>
      </c>
      <c r="P6" s="39">
        <f>E54</f>
        <v>0</v>
      </c>
      <c r="Q6" s="39">
        <f>MIN(1,G54+$G$43)</f>
        <v>1</v>
      </c>
      <c r="R6" s="39">
        <f>I54</f>
        <v>0</v>
      </c>
      <c r="S6" s="28"/>
      <c r="T6" s="29"/>
      <c r="U6" s="29" t="s">
        <v>34</v>
      </c>
      <c r="V6" s="29"/>
      <c r="W6" s="30" t="s">
        <v>35</v>
      </c>
      <c r="X6" s="30">
        <v>3.1358885017421598</v>
      </c>
      <c r="Y6" s="30">
        <v>5.0000000000000001E-3</v>
      </c>
      <c r="Z6" s="30">
        <f>2.87*$L$15</f>
        <v>2870</v>
      </c>
      <c r="AA6" s="30">
        <f>43.8890582139592*$L$9</f>
        <v>143.99297314291061</v>
      </c>
      <c r="AB6" s="30">
        <f t="shared" si="0"/>
        <v>0.7706467475189348</v>
      </c>
      <c r="AC6" s="30">
        <f t="shared" si="1"/>
        <v>0.53208556149732622</v>
      </c>
      <c r="AD6" s="30">
        <f t="shared" si="2"/>
        <v>8.9999999999999982</v>
      </c>
      <c r="AE6" s="31"/>
      <c r="AF6" s="32"/>
      <c r="AG6" s="32"/>
      <c r="AH6" s="32"/>
      <c r="AI6" s="32"/>
      <c r="AJ6" s="32"/>
      <c r="AK6" s="32"/>
      <c r="AL6" s="32"/>
      <c r="AM6" s="33"/>
      <c r="AN6" s="34"/>
      <c r="AO6" s="34" t="str">
        <f t="shared" si="4"/>
        <v>Well Name</v>
      </c>
      <c r="AP6" s="34"/>
      <c r="AQ6" s="34" t="str">
        <f t="shared" si="5"/>
        <v>PCP Beaverlodge 11-36</v>
      </c>
      <c r="AR6" s="34"/>
      <c r="AS6" s="34">
        <f>E7</f>
        <v>0</v>
      </c>
      <c r="AT6" s="34"/>
      <c r="AU6" s="34"/>
      <c r="AV6" s="34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</row>
    <row r="7" spans="1:124" ht="14.25" thickTop="1" thickBot="1">
      <c r="A7" s="107" t="s">
        <v>498</v>
      </c>
      <c r="B7" s="103"/>
      <c r="C7" s="104" t="s">
        <v>499</v>
      </c>
      <c r="D7" s="105"/>
      <c r="E7" s="106"/>
      <c r="F7" s="107"/>
      <c r="G7" s="108" t="s">
        <v>500</v>
      </c>
      <c r="H7" s="104" t="s">
        <v>33</v>
      </c>
      <c r="I7" s="105"/>
      <c r="J7" s="107"/>
      <c r="K7" s="102"/>
      <c r="L7" s="39">
        <f t="shared" si="3"/>
        <v>1.8</v>
      </c>
      <c r="M7" s="39">
        <v>1</v>
      </c>
      <c r="N7" s="39">
        <v>1.8</v>
      </c>
      <c r="O7" s="39">
        <f>C55</f>
        <v>0.4</v>
      </c>
      <c r="P7" s="39">
        <f>E55</f>
        <v>0.08</v>
      </c>
      <c r="Q7" s="39">
        <f>MIN(1,G55+$G$43)</f>
        <v>0.6</v>
      </c>
      <c r="R7" s="39">
        <f>I55</f>
        <v>1</v>
      </c>
      <c r="S7" s="28"/>
      <c r="T7" s="29"/>
      <c r="U7" s="29" t="s">
        <v>36</v>
      </c>
      <c r="V7" s="29"/>
      <c r="W7" s="30" t="s">
        <v>37</v>
      </c>
      <c r="X7" s="30">
        <v>5.0677966101694896</v>
      </c>
      <c r="Y7" s="30">
        <v>2E-3</v>
      </c>
      <c r="Z7" s="30">
        <f>2.95*$L$15</f>
        <v>2950</v>
      </c>
      <c r="AA7" s="30">
        <f>49.9847607436757*$L$9</f>
        <v>163.99199719053689</v>
      </c>
      <c r="AB7" s="30">
        <f t="shared" si="0"/>
        <v>0.70777045772474023</v>
      </c>
      <c r="AC7" s="30">
        <f t="shared" si="1"/>
        <v>0.51179487179487182</v>
      </c>
      <c r="AD7" s="30">
        <f t="shared" si="2"/>
        <v>14.949999999999994</v>
      </c>
      <c r="AE7" s="31" t="s">
        <v>38</v>
      </c>
      <c r="AF7" s="32"/>
      <c r="AG7" s="32"/>
      <c r="AH7" s="32"/>
      <c r="AI7" s="32"/>
      <c r="AJ7" s="32"/>
      <c r="AK7" s="32"/>
      <c r="AL7" s="32"/>
      <c r="AM7" s="33"/>
      <c r="AN7" s="34"/>
      <c r="AO7" s="34" t="str">
        <f t="shared" si="4"/>
        <v>Field / Zone</v>
      </c>
      <c r="AP7" s="34"/>
      <c r="AQ7" s="34" t="str">
        <f t="shared" si="5"/>
        <v>Beaverlodge / Halfway</v>
      </c>
      <c r="AR7" s="34"/>
      <c r="AS7" s="34"/>
      <c r="AT7" s="34"/>
      <c r="AU7" s="34"/>
      <c r="AV7" s="34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</row>
    <row r="8" spans="1:124" ht="14.25" thickTop="1" thickBot="1">
      <c r="A8" s="107" t="s">
        <v>501</v>
      </c>
      <c r="B8" s="103"/>
      <c r="C8" s="109" t="s">
        <v>502</v>
      </c>
      <c r="D8" s="110"/>
      <c r="E8" s="111"/>
      <c r="F8" s="112"/>
      <c r="G8" s="108" t="s">
        <v>503</v>
      </c>
      <c r="H8" s="113" t="s">
        <v>504</v>
      </c>
      <c r="I8" s="114"/>
      <c r="J8" s="107"/>
      <c r="K8" s="102"/>
      <c r="L8" s="39">
        <f t="shared" si="3"/>
        <v>32</v>
      </c>
      <c r="M8" s="39">
        <v>0</v>
      </c>
      <c r="N8" s="39">
        <v>32</v>
      </c>
      <c r="O8" s="39">
        <f>C56</f>
        <v>0.25</v>
      </c>
      <c r="P8" s="39">
        <f>E56</f>
        <v>0.1</v>
      </c>
      <c r="Q8" s="39">
        <f>MIN(1,G56+$G$43)</f>
        <v>0.3</v>
      </c>
      <c r="R8" s="39">
        <f>I56</f>
        <v>2</v>
      </c>
      <c r="S8" s="28"/>
      <c r="T8" s="29"/>
      <c r="U8" s="29" t="s">
        <v>39</v>
      </c>
      <c r="V8" s="29"/>
      <c r="W8" s="30" t="s">
        <v>40</v>
      </c>
      <c r="X8" s="30">
        <v>4.0255319148936204</v>
      </c>
      <c r="Y8" s="30">
        <v>0.50700000000000001</v>
      </c>
      <c r="Z8" s="30">
        <f>2.35*$L$15</f>
        <v>2350</v>
      </c>
      <c r="AA8" s="30">
        <f>52.4230417555623*$L$9</f>
        <v>171.99160680958744</v>
      </c>
      <c r="AB8" s="30">
        <f t="shared" si="0"/>
        <v>1.0042737647736126</v>
      </c>
      <c r="AC8" s="30">
        <f t="shared" si="1"/>
        <v>0.36518518518518517</v>
      </c>
      <c r="AD8" s="30">
        <f t="shared" si="2"/>
        <v>9.460000000000008</v>
      </c>
      <c r="AE8" s="31" t="s">
        <v>41</v>
      </c>
      <c r="AF8" s="32"/>
      <c r="AG8" s="32"/>
      <c r="AH8" s="32"/>
      <c r="AI8" s="32"/>
      <c r="AJ8" s="32"/>
      <c r="AK8" s="32"/>
      <c r="AL8" s="32"/>
      <c r="AM8" s="33"/>
      <c r="AN8" s="34"/>
      <c r="AO8" s="34">
        <f t="shared" si="4"/>
        <v>0</v>
      </c>
      <c r="AP8" s="34"/>
      <c r="AQ8" s="34">
        <f t="shared" si="5"/>
        <v>0</v>
      </c>
      <c r="AR8" s="34"/>
      <c r="AS8" s="34"/>
      <c r="AT8" s="34"/>
      <c r="AU8" s="34"/>
      <c r="AV8" s="34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</row>
    <row r="9" spans="1:124" ht="14.25" thickTop="1" thickBot="1">
      <c r="A9" s="121"/>
      <c r="B9" s="115"/>
      <c r="C9" s="116"/>
      <c r="D9" s="116"/>
      <c r="E9" s="116"/>
      <c r="F9" s="115"/>
      <c r="G9" s="115"/>
      <c r="H9" s="115"/>
      <c r="I9" s="116"/>
      <c r="J9" s="116"/>
      <c r="K9" s="102"/>
      <c r="L9" s="39">
        <f t="shared" si="3"/>
        <v>3.2808398950131199</v>
      </c>
      <c r="M9" s="39">
        <v>1</v>
      </c>
      <c r="N9" s="39">
        <v>3.2808398950131199</v>
      </c>
      <c r="O9" s="39">
        <v>0</v>
      </c>
      <c r="P9" s="39" t="s">
        <v>42</v>
      </c>
      <c r="Q9" s="39">
        <v>99999</v>
      </c>
      <c r="R9" s="39" t="s">
        <v>43</v>
      </c>
      <c r="S9" s="28"/>
      <c r="T9" s="29" t="s">
        <v>44</v>
      </c>
      <c r="U9" s="29" t="s">
        <v>45</v>
      </c>
      <c r="V9" s="29"/>
      <c r="W9" s="30" t="s">
        <v>46</v>
      </c>
      <c r="X9" s="30">
        <v>2.3992932862190801</v>
      </c>
      <c r="Y9" s="30">
        <v>0.16500000000000001</v>
      </c>
      <c r="Z9" s="30">
        <f>2.83*$L$15</f>
        <v>2830</v>
      </c>
      <c r="AA9" s="30">
        <f>47.2416946053033*$L$9</f>
        <v>154.99243636910515</v>
      </c>
      <c r="AB9" s="30">
        <f t="shared" si="0"/>
        <v>0.76917106773058308</v>
      </c>
      <c r="AC9" s="30">
        <f t="shared" si="1"/>
        <v>0.45628415300546449</v>
      </c>
      <c r="AD9" s="30">
        <f t="shared" si="2"/>
        <v>6.7899999999999965</v>
      </c>
      <c r="AE9" s="31" t="s">
        <v>47</v>
      </c>
      <c r="AF9" s="32"/>
      <c r="AG9" s="32"/>
      <c r="AH9" s="32"/>
      <c r="AI9" s="32"/>
      <c r="AJ9" s="32"/>
      <c r="AK9" s="32"/>
      <c r="AL9" s="32"/>
      <c r="AM9" s="33"/>
      <c r="AN9" s="34"/>
      <c r="AO9" s="34">
        <f t="shared" si="4"/>
        <v>0</v>
      </c>
      <c r="AP9" s="34"/>
      <c r="AQ9" s="34">
        <f t="shared" si="5"/>
        <v>0</v>
      </c>
      <c r="AR9" s="34"/>
      <c r="AS9" s="34"/>
      <c r="AT9" s="34"/>
      <c r="AU9" s="34"/>
      <c r="AV9" s="34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32"/>
      <c r="DE9" s="32"/>
      <c r="DF9" s="32"/>
      <c r="DG9" s="32"/>
      <c r="DH9" s="32"/>
      <c r="DI9" s="32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</row>
    <row r="10" spans="1:124" ht="14.25" thickTop="1" thickBot="1">
      <c r="A10" s="121"/>
      <c r="B10" s="115"/>
      <c r="C10" s="115"/>
      <c r="D10" s="115"/>
      <c r="E10" s="115"/>
      <c r="F10" s="115"/>
      <c r="G10" s="115"/>
      <c r="H10" s="115"/>
      <c r="I10" s="116"/>
      <c r="J10" s="116"/>
      <c r="K10" s="102"/>
      <c r="L10" s="39">
        <f t="shared" si="3"/>
        <v>0.30480000000000002</v>
      </c>
      <c r="M10" s="39">
        <v>1</v>
      </c>
      <c r="N10" s="39">
        <v>0.30480000000000002</v>
      </c>
      <c r="O10" s="39">
        <v>73</v>
      </c>
      <c r="P10" s="39" t="s">
        <v>48</v>
      </c>
      <c r="Q10" s="39"/>
      <c r="R10" s="39"/>
      <c r="S10" s="28"/>
      <c r="T10" s="29"/>
      <c r="U10" s="29" t="s">
        <v>49</v>
      </c>
      <c r="V10" s="29"/>
      <c r="W10" s="30" t="s">
        <v>50</v>
      </c>
      <c r="X10" s="30">
        <v>8.6031250000000004</v>
      </c>
      <c r="Y10" s="30">
        <v>0.22500000000000001</v>
      </c>
      <c r="Z10" s="30">
        <f>3.2*$L$15</f>
        <v>3200</v>
      </c>
      <c r="AA10" s="30">
        <f>55.4708930204206*$L$9</f>
        <v>181.99111883340072</v>
      </c>
      <c r="AB10" s="30">
        <f t="shared" si="0"/>
        <v>0.60240503172536108</v>
      </c>
      <c r="AC10" s="30">
        <f t="shared" si="1"/>
        <v>0.35227272727272729</v>
      </c>
      <c r="AD10" s="30">
        <f t="shared" si="2"/>
        <v>27.53</v>
      </c>
      <c r="AE10" s="31" t="s">
        <v>51</v>
      </c>
      <c r="AF10" s="32"/>
      <c r="AG10" s="32"/>
      <c r="AH10" s="32"/>
      <c r="AI10" s="32"/>
      <c r="AJ10" s="32"/>
      <c r="AK10" s="32"/>
      <c r="AL10" s="32"/>
      <c r="AM10" s="33"/>
      <c r="AN10" s="34"/>
      <c r="AO10" s="34">
        <f t="shared" si="4"/>
        <v>0</v>
      </c>
      <c r="AP10" s="34"/>
      <c r="AQ10" s="34">
        <f t="shared" si="5"/>
        <v>0</v>
      </c>
      <c r="AR10" s="34"/>
      <c r="AS10" s="34"/>
      <c r="AT10" s="34"/>
      <c r="AU10" s="34"/>
      <c r="AV10" s="34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</row>
    <row r="11" spans="1:124" ht="14.25" thickTop="1" thickBot="1">
      <c r="A11" s="121"/>
      <c r="B11" s="115"/>
      <c r="C11" s="115"/>
      <c r="D11" s="115"/>
      <c r="E11" s="115"/>
      <c r="F11" s="115"/>
      <c r="G11" s="115"/>
      <c r="H11" s="115"/>
      <c r="I11" s="116"/>
      <c r="J11" s="94"/>
      <c r="K11" s="102"/>
      <c r="L11" s="39">
        <f t="shared" si="3"/>
        <v>2650</v>
      </c>
      <c r="M11" s="39">
        <v>2.65</v>
      </c>
      <c r="N11" s="39">
        <v>2650</v>
      </c>
      <c r="O11" s="39"/>
      <c r="P11" s="39"/>
      <c r="Q11" s="39"/>
      <c r="R11" s="39"/>
      <c r="S11" s="28"/>
      <c r="T11" s="29" t="s">
        <v>55</v>
      </c>
      <c r="U11" s="29" t="s">
        <v>56</v>
      </c>
      <c r="V11" s="29"/>
      <c r="W11" s="30" t="s">
        <v>57</v>
      </c>
      <c r="X11" s="30">
        <v>1.48484848484848</v>
      </c>
      <c r="Y11" s="30">
        <v>0.49099999999999999</v>
      </c>
      <c r="Z11" s="30">
        <f>2.64*$L$15</f>
        <v>2640</v>
      </c>
      <c r="AA11" s="30">
        <f>64.3096616885096*$L$9</f>
        <v>210.98970370245911</v>
      </c>
      <c r="AB11" s="30">
        <f t="shared" si="0"/>
        <v>0.75420937994811221</v>
      </c>
      <c r="AC11" s="30">
        <f t="shared" si="1"/>
        <v>0.31036585365853658</v>
      </c>
      <c r="AD11" s="30">
        <f t="shared" si="2"/>
        <v>3.9199999999999871</v>
      </c>
      <c r="AE11" s="31" t="s">
        <v>58</v>
      </c>
      <c r="AF11" s="32"/>
      <c r="AG11" s="32"/>
      <c r="AH11" s="32"/>
      <c r="AI11" s="32"/>
      <c r="AJ11" s="32"/>
      <c r="AK11" s="32"/>
      <c r="AL11" s="32"/>
      <c r="AM11" s="33"/>
      <c r="AN11" s="34"/>
      <c r="AO11" s="34"/>
      <c r="AP11" s="34"/>
      <c r="AQ11" s="34"/>
      <c r="AR11" s="34"/>
      <c r="AS11" s="34"/>
      <c r="AT11" s="34"/>
      <c r="AU11" s="34"/>
      <c r="AV11" s="34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</row>
    <row r="12" spans="1:124" ht="14.25" thickTop="1" thickBot="1">
      <c r="A12" s="122"/>
      <c r="B12" s="32"/>
      <c r="C12" s="140"/>
      <c r="D12" s="140"/>
      <c r="E12" s="140"/>
      <c r="F12" s="140"/>
      <c r="G12" s="140"/>
      <c r="H12" s="140"/>
      <c r="I12" s="32"/>
      <c r="J12" s="32"/>
      <c r="K12" s="38"/>
      <c r="L12" s="39">
        <f t="shared" si="3"/>
        <v>2710</v>
      </c>
      <c r="M12" s="39">
        <v>2.71</v>
      </c>
      <c r="N12" s="39">
        <v>2710</v>
      </c>
      <c r="O12" s="39"/>
      <c r="P12" s="39"/>
      <c r="Q12" s="39"/>
      <c r="R12" s="39"/>
      <c r="S12" s="28"/>
      <c r="T12" s="29"/>
      <c r="U12" s="29" t="s">
        <v>59</v>
      </c>
      <c r="V12" s="29"/>
      <c r="W12" s="30" t="s">
        <v>60</v>
      </c>
      <c r="X12" s="30">
        <v>4.7809187279151901</v>
      </c>
      <c r="Y12" s="30">
        <v>0.17499999999999999</v>
      </c>
      <c r="Z12" s="30">
        <f>2.83*$L$15</f>
        <v>2830</v>
      </c>
      <c r="AA12" s="30">
        <f>55.4708930204206*$L$9</f>
        <v>181.99111883340072</v>
      </c>
      <c r="AB12" s="30">
        <f t="shared" si="0"/>
        <v>0.7242027703802153</v>
      </c>
      <c r="AC12" s="30">
        <f t="shared" si="1"/>
        <v>0.45081967213114754</v>
      </c>
      <c r="AD12" s="30">
        <f t="shared" si="2"/>
        <v>13.529999999999987</v>
      </c>
      <c r="AE12" s="41" t="s">
        <v>61</v>
      </c>
      <c r="AF12" s="42"/>
      <c r="AG12" s="42"/>
      <c r="AH12" s="42"/>
      <c r="AI12" s="42"/>
      <c r="AJ12" s="42"/>
      <c r="AK12" s="42"/>
      <c r="AL12" s="42"/>
      <c r="AM12" s="43"/>
      <c r="AN12" s="34"/>
      <c r="AO12" s="34">
        <f>G6</f>
        <v>0</v>
      </c>
      <c r="AP12" s="34"/>
      <c r="AQ12" s="34">
        <f>H6</f>
        <v>0</v>
      </c>
      <c r="AR12" s="34"/>
      <c r="AS12" s="34"/>
      <c r="AT12" s="34"/>
      <c r="AU12" s="34"/>
      <c r="AV12" s="34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</row>
    <row r="13" spans="1:124" ht="14.25" thickTop="1" thickBot="1">
      <c r="A13" s="134" t="s">
        <v>495</v>
      </c>
      <c r="B13" s="135"/>
      <c r="C13" s="138"/>
      <c r="D13" s="139"/>
      <c r="E13" s="139"/>
      <c r="F13" s="139"/>
      <c r="G13" s="139"/>
      <c r="H13" s="139"/>
      <c r="I13" s="27"/>
      <c r="J13" s="27"/>
      <c r="K13" s="38"/>
      <c r="L13" s="39">
        <f t="shared" si="3"/>
        <v>1</v>
      </c>
      <c r="M13" s="39">
        <v>0.159</v>
      </c>
      <c r="N13" s="39">
        <v>1</v>
      </c>
      <c r="O13" s="39" t="s">
        <v>62</v>
      </c>
      <c r="P13" s="39"/>
      <c r="Q13" s="39"/>
      <c r="R13" s="39"/>
      <c r="S13" s="28"/>
      <c r="T13" s="29"/>
      <c r="U13" s="29" t="s">
        <v>63</v>
      </c>
      <c r="V13" s="29"/>
      <c r="W13" s="30" t="s">
        <v>64</v>
      </c>
      <c r="X13" s="30">
        <v>3.02166064981949</v>
      </c>
      <c r="Y13" s="30">
        <v>0.158</v>
      </c>
      <c r="Z13" s="30">
        <f>2.77*$L$15</f>
        <v>2770</v>
      </c>
      <c r="AA13" s="30">
        <f>64.6144468149954*$L$9</f>
        <v>211.98965490484034</v>
      </c>
      <c r="AB13" s="30">
        <f t="shared" si="0"/>
        <v>0.69709352081923504</v>
      </c>
      <c r="AC13" s="30">
        <f t="shared" si="1"/>
        <v>0.47570621468926549</v>
      </c>
      <c r="AD13" s="30">
        <f t="shared" si="2"/>
        <v>8.3699999999999868</v>
      </c>
      <c r="AE13" s="44" t="s">
        <v>65</v>
      </c>
      <c r="AF13" s="45"/>
      <c r="AG13" s="45"/>
      <c r="AH13" s="45"/>
      <c r="AI13" s="45"/>
      <c r="AJ13" s="45"/>
      <c r="AK13" s="45"/>
      <c r="AL13" s="45"/>
      <c r="AM13" s="43"/>
      <c r="AN13" s="34"/>
      <c r="AO13" s="34" t="str">
        <f>G7</f>
        <v xml:space="preserve">Analyst  </v>
      </c>
      <c r="AP13" s="34"/>
      <c r="AQ13" s="34" t="str">
        <f>H7</f>
        <v>E. R. Crain, P.Eng.</v>
      </c>
      <c r="AR13" s="34">
        <f>I7</f>
        <v>0</v>
      </c>
      <c r="AS13" s="34"/>
      <c r="AT13" s="34"/>
      <c r="AU13" s="34"/>
      <c r="AV13" s="34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32"/>
      <c r="DF13" s="32"/>
      <c r="DG13" s="32"/>
      <c r="DH13" s="32"/>
      <c r="DI13" s="32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</row>
    <row r="14" spans="1:124" ht="14.25" thickTop="1" thickBot="1">
      <c r="A14" s="122" t="s">
        <v>52</v>
      </c>
      <c r="D14" s="26"/>
      <c r="E14" s="26"/>
      <c r="F14" s="26"/>
      <c r="G14" s="26"/>
      <c r="H14" s="26"/>
      <c r="I14" s="26"/>
      <c r="J14" s="26"/>
      <c r="K14" s="38"/>
      <c r="L14" s="39">
        <f t="shared" si="3"/>
        <v>1</v>
      </c>
      <c r="M14" s="39">
        <v>2.8299999999999999E-2</v>
      </c>
      <c r="N14" s="39">
        <v>1</v>
      </c>
      <c r="O14" s="39"/>
      <c r="P14" s="39"/>
      <c r="Q14" s="39"/>
      <c r="R14" s="39"/>
      <c r="S14" s="28"/>
      <c r="T14" s="29"/>
      <c r="U14" s="29" t="s">
        <v>66</v>
      </c>
      <c r="V14" s="29"/>
      <c r="W14" s="30" t="s">
        <v>67</v>
      </c>
      <c r="X14" s="30">
        <v>4.7735191637630701</v>
      </c>
      <c r="Y14" s="30">
        <v>0.42799999999999999</v>
      </c>
      <c r="Z14" s="30">
        <f>2.87*$L$15</f>
        <v>2870</v>
      </c>
      <c r="AA14" s="30">
        <f>64.6144468149954*$L$9</f>
        <v>211.98965490484034</v>
      </c>
      <c r="AB14" s="30">
        <f t="shared" si="0"/>
        <v>0.65981579243317967</v>
      </c>
      <c r="AC14" s="30">
        <f t="shared" si="1"/>
        <v>0.30588235294117649</v>
      </c>
      <c r="AD14" s="30">
        <f t="shared" si="2"/>
        <v>13.700000000000012</v>
      </c>
      <c r="AE14" s="44" t="s">
        <v>68</v>
      </c>
      <c r="AF14" s="45"/>
      <c r="AG14" s="45"/>
      <c r="AH14" s="45"/>
      <c r="AI14" s="45"/>
      <c r="AJ14" s="45"/>
      <c r="AK14" s="45"/>
      <c r="AL14" s="45"/>
      <c r="AM14" s="43"/>
      <c r="AN14" s="34"/>
      <c r="AO14" s="34" t="str">
        <f>G8</f>
        <v xml:space="preserve">Date  </v>
      </c>
      <c r="AP14" s="34"/>
      <c r="AQ14" s="34" t="str">
        <f>H8</f>
        <v xml:space="preserve"> 2018-09-27</v>
      </c>
      <c r="AR14" s="34"/>
      <c r="AS14" s="34"/>
      <c r="AT14" s="34"/>
      <c r="AU14" s="34"/>
      <c r="AV14" s="34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</row>
    <row r="15" spans="1:124" ht="14.25" thickTop="1" thickBot="1">
      <c r="A15" s="124" t="s">
        <v>53</v>
      </c>
      <c r="B15" s="46" t="s">
        <v>69</v>
      </c>
      <c r="C15" s="46" t="s">
        <v>70</v>
      </c>
      <c r="D15" s="46" t="s">
        <v>71</v>
      </c>
      <c r="E15" s="46" t="s">
        <v>487</v>
      </c>
      <c r="F15" s="46" t="s">
        <v>72</v>
      </c>
      <c r="G15" s="46" t="s">
        <v>73</v>
      </c>
      <c r="H15" s="46" t="s">
        <v>74</v>
      </c>
      <c r="I15" s="32"/>
      <c r="J15" s="32"/>
      <c r="K15" s="38"/>
      <c r="L15" s="39">
        <f t="shared" si="3"/>
        <v>1000</v>
      </c>
      <c r="M15" s="39">
        <v>1</v>
      </c>
      <c r="N15" s="39">
        <v>1000</v>
      </c>
      <c r="O15" s="39"/>
      <c r="P15" s="39"/>
      <c r="Q15" s="39"/>
      <c r="R15" s="39"/>
      <c r="S15" s="28"/>
      <c r="T15" s="29"/>
      <c r="U15" s="29" t="s">
        <v>75</v>
      </c>
      <c r="V15" s="29"/>
      <c r="W15" s="30" t="s">
        <v>76</v>
      </c>
      <c r="X15" s="30">
        <v>1.63740458015267</v>
      </c>
      <c r="Y15" s="30">
        <v>0.115</v>
      </c>
      <c r="Z15" s="30">
        <f>2.62*$L$15</f>
        <v>2620</v>
      </c>
      <c r="AA15" s="30">
        <f>64.6144468149954*$L$9</f>
        <v>211.98965490484034</v>
      </c>
      <c r="AB15" s="30">
        <f t="shared" si="0"/>
        <v>0.76163921719138639</v>
      </c>
      <c r="AC15" s="30">
        <f t="shared" si="1"/>
        <v>0.54629629629629639</v>
      </c>
      <c r="AD15" s="30">
        <f t="shared" si="2"/>
        <v>4.2899999999999956</v>
      </c>
      <c r="AE15" s="47"/>
      <c r="AF15" s="48"/>
      <c r="AG15" s="48"/>
      <c r="AH15" s="48"/>
      <c r="AI15" s="48"/>
      <c r="AJ15" s="48"/>
      <c r="AK15" s="48"/>
      <c r="AL15" s="48"/>
      <c r="AM15" s="33"/>
      <c r="AN15" s="34"/>
      <c r="AO15" s="34"/>
      <c r="AP15" s="34"/>
      <c r="AQ15" s="34">
        <f>H9</f>
        <v>0</v>
      </c>
      <c r="AR15" s="34"/>
      <c r="AS15" s="34"/>
      <c r="AT15" s="34"/>
      <c r="AU15" s="34"/>
      <c r="AV15" s="34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</row>
    <row r="16" spans="1:124" ht="14.25" thickTop="1" thickBot="1">
      <c r="A16" s="125" t="s">
        <v>54</v>
      </c>
      <c r="B16" s="46" t="s">
        <v>77</v>
      </c>
      <c r="C16" s="46" t="s">
        <v>23</v>
      </c>
      <c r="D16" s="32" t="str">
        <f>"      "&amp;$L$28</f>
        <v xml:space="preserve">      Kg/m3</v>
      </c>
      <c r="E16" s="32" t="str">
        <f>"        "&amp;$L$25</f>
        <v xml:space="preserve">        us/m</v>
      </c>
      <c r="F16" s="46" t="s">
        <v>78</v>
      </c>
      <c r="G16" s="46" t="s">
        <v>79</v>
      </c>
      <c r="H16" s="46" t="s">
        <v>80</v>
      </c>
      <c r="I16" s="32"/>
      <c r="J16" s="32"/>
      <c r="K16" s="38"/>
      <c r="L16" s="39">
        <f t="shared" si="3"/>
        <v>2149</v>
      </c>
      <c r="M16" s="39">
        <v>162.6</v>
      </c>
      <c r="N16" s="39">
        <v>2149</v>
      </c>
      <c r="O16" s="39"/>
      <c r="P16" s="39"/>
      <c r="Q16" s="39"/>
      <c r="R16" s="39"/>
      <c r="S16" s="28"/>
      <c r="T16" s="29"/>
      <c r="U16" s="29" t="s">
        <v>81</v>
      </c>
      <c r="V16" s="29"/>
      <c r="W16" s="30" t="s">
        <v>82</v>
      </c>
      <c r="X16" s="30">
        <v>261.02941176470603</v>
      </c>
      <c r="Y16" s="30">
        <v>2E-3</v>
      </c>
      <c r="Z16" s="30">
        <f>4.08*$L$15</f>
        <v>4080</v>
      </c>
      <c r="AA16" s="30">
        <f>69.7957939652545*$L$9</f>
        <v>228.98882534532294</v>
      </c>
      <c r="AB16" s="30">
        <f t="shared" si="0"/>
        <v>0.38377988972319971</v>
      </c>
      <c r="AC16" s="30">
        <f t="shared" si="1"/>
        <v>0.324025974025974</v>
      </c>
      <c r="AD16" s="30">
        <f t="shared" si="2"/>
        <v>1065.0000000000007</v>
      </c>
      <c r="AE16" s="31" t="s">
        <v>83</v>
      </c>
      <c r="AF16" s="32"/>
      <c r="AG16" s="32"/>
      <c r="AH16" s="32"/>
      <c r="AI16" s="32"/>
      <c r="AJ16" s="32"/>
      <c r="AK16" s="32"/>
      <c r="AL16" s="32"/>
      <c r="AM16" s="33"/>
      <c r="AN16" s="34"/>
      <c r="AO16" s="34"/>
      <c r="AP16" s="34"/>
      <c r="AQ16" s="34"/>
      <c r="AR16" s="34"/>
      <c r="AS16" s="34"/>
      <c r="AT16" s="34"/>
      <c r="AU16" s="34"/>
      <c r="AV16" s="34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</row>
    <row r="17" spans="1:124" ht="14.25" thickTop="1" thickBot="1">
      <c r="A17" s="126"/>
      <c r="B17" s="46"/>
      <c r="C17" s="46"/>
      <c r="D17" s="32"/>
      <c r="E17" s="32"/>
      <c r="F17" s="46"/>
      <c r="G17" s="46"/>
      <c r="H17" s="46"/>
      <c r="I17" s="32"/>
      <c r="J17" s="32"/>
      <c r="K17" s="38"/>
      <c r="L17" s="39">
        <f t="shared" si="3"/>
        <v>2.149</v>
      </c>
      <c r="M17" s="39">
        <v>162.6</v>
      </c>
      <c r="N17" s="39">
        <v>2.149</v>
      </c>
      <c r="O17" s="39"/>
      <c r="P17" s="39"/>
      <c r="Q17" s="39"/>
      <c r="R17" s="39"/>
      <c r="S17" s="28"/>
      <c r="T17" s="29" t="s">
        <v>84</v>
      </c>
      <c r="U17" s="29" t="s">
        <v>85</v>
      </c>
      <c r="V17" s="29"/>
      <c r="W17" s="30" t="s">
        <v>86</v>
      </c>
      <c r="X17" s="30">
        <v>1.68604651162791</v>
      </c>
      <c r="Y17" s="30">
        <v>-1.2999999999999999E-2</v>
      </c>
      <c r="Z17" s="30">
        <f>2.58*$L$15</f>
        <v>2580</v>
      </c>
      <c r="AA17" s="30">
        <f>47.2416946053033*$L$9</f>
        <v>154.99243636910515</v>
      </c>
      <c r="AB17" s="30">
        <f t="shared" si="0"/>
        <v>0.89087535059934642</v>
      </c>
      <c r="AC17" s="30">
        <f t="shared" si="1"/>
        <v>0.64113924050632898</v>
      </c>
      <c r="AD17" s="30">
        <f t="shared" si="2"/>
        <v>4.3500000000000076</v>
      </c>
      <c r="AE17" s="31" t="s">
        <v>87</v>
      </c>
      <c r="AF17" s="32"/>
      <c r="AG17" s="32"/>
      <c r="AH17" s="32"/>
      <c r="AI17" s="32"/>
      <c r="AJ17" s="32"/>
      <c r="AK17" s="32"/>
      <c r="AL17" s="32"/>
      <c r="AM17" s="33"/>
      <c r="AN17" s="34"/>
      <c r="AO17" s="34"/>
      <c r="AP17" s="34"/>
      <c r="AQ17" s="34"/>
      <c r="AR17" s="34"/>
      <c r="AS17" s="34"/>
      <c r="AT17" s="34"/>
      <c r="AU17" s="34"/>
      <c r="AV17" s="34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</row>
    <row r="18" spans="1:124" ht="14.25" thickTop="1" thickBot="1">
      <c r="A18" s="126" t="s">
        <v>88</v>
      </c>
      <c r="B18" s="46" t="s">
        <v>89</v>
      </c>
      <c r="C18" s="46" t="s">
        <v>90</v>
      </c>
      <c r="D18" s="46" t="s">
        <v>91</v>
      </c>
      <c r="E18" s="46" t="s">
        <v>488</v>
      </c>
      <c r="F18" s="46" t="s">
        <v>92</v>
      </c>
      <c r="G18" s="46" t="s">
        <v>93</v>
      </c>
      <c r="H18" s="32"/>
      <c r="I18" s="32"/>
      <c r="J18" s="32"/>
      <c r="K18" s="38"/>
      <c r="L18" s="39">
        <f t="shared" si="3"/>
        <v>273</v>
      </c>
      <c r="M18" s="39">
        <v>460</v>
      </c>
      <c r="N18" s="39">
        <v>273</v>
      </c>
      <c r="O18" s="39"/>
      <c r="P18" s="39"/>
      <c r="Q18" s="39"/>
      <c r="R18" s="39"/>
      <c r="S18" s="28"/>
      <c r="T18" s="29"/>
      <c r="U18" s="29" t="s">
        <v>94</v>
      </c>
      <c r="V18" s="29"/>
      <c r="W18" s="30" t="s">
        <v>95</v>
      </c>
      <c r="X18" s="30">
        <v>3.1277372262773699</v>
      </c>
      <c r="Y18" s="30">
        <v>-1.7999999999999999E-2</v>
      </c>
      <c r="Z18" s="30">
        <f>2.74*$L$15</f>
        <v>2740</v>
      </c>
      <c r="AA18" s="30">
        <f>45.1081987199025*$L$9</f>
        <v>147.99277795243586</v>
      </c>
      <c r="AB18" s="30">
        <f t="shared" si="0"/>
        <v>0.82121724873619262</v>
      </c>
      <c r="AC18" s="30">
        <f t="shared" si="1"/>
        <v>0.5850574712643678</v>
      </c>
      <c r="AD18" s="30">
        <f t="shared" si="2"/>
        <v>8.569999999999995</v>
      </c>
      <c r="AE18" s="31"/>
      <c r="AF18" s="32"/>
      <c r="AG18" s="32"/>
      <c r="AH18" s="32"/>
      <c r="AI18" s="32"/>
      <c r="AJ18" s="32"/>
      <c r="AK18" s="32"/>
      <c r="AL18" s="32"/>
      <c r="AM18" s="33"/>
      <c r="AN18" s="34"/>
      <c r="AO18" s="34"/>
      <c r="AP18" s="34"/>
      <c r="AQ18" s="34"/>
      <c r="AR18" s="34"/>
      <c r="AS18" s="34"/>
      <c r="AT18" s="34"/>
      <c r="AU18" s="34"/>
      <c r="AV18" s="34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</row>
    <row r="19" spans="1:124" ht="14.25" thickTop="1" thickBot="1">
      <c r="A19" s="122"/>
      <c r="B19" s="30">
        <v>200</v>
      </c>
      <c r="C19" s="30">
        <f>$C$31</f>
        <v>-2.8000000000000001E-2</v>
      </c>
      <c r="D19" s="30">
        <f>2.65*$L$15</f>
        <v>2650</v>
      </c>
      <c r="E19" s="30">
        <f>55.5*$L$9</f>
        <v>182.08661417322816</v>
      </c>
      <c r="F19" s="28" t="s">
        <v>96</v>
      </c>
      <c r="G19" s="30">
        <v>-50</v>
      </c>
      <c r="H19" s="31"/>
      <c r="I19" s="32"/>
      <c r="J19" s="32"/>
      <c r="K19" s="38"/>
      <c r="L19" s="39">
        <f t="shared" si="3"/>
        <v>5.354E-4</v>
      </c>
      <c r="M19" s="39">
        <v>7.0800000000000004E-3</v>
      </c>
      <c r="N19" s="39">
        <v>5.354E-4</v>
      </c>
      <c r="O19" s="39"/>
      <c r="P19" s="39"/>
      <c r="Q19" s="39"/>
      <c r="R19" s="39"/>
      <c r="S19" s="28"/>
      <c r="T19" s="29" t="s">
        <v>97</v>
      </c>
      <c r="U19" s="29" t="s">
        <v>98</v>
      </c>
      <c r="V19" s="29"/>
      <c r="W19" s="30" t="s">
        <v>99</v>
      </c>
      <c r="X19" s="30">
        <v>2.8700787401574801</v>
      </c>
      <c r="Y19" s="30">
        <v>-1.0999999999999999E-2</v>
      </c>
      <c r="Z19" s="30">
        <f>2.54*$L$15</f>
        <v>2540</v>
      </c>
      <c r="AA19" s="30">
        <f>68.881438585797*$L$9</f>
        <v>225.98897173817889</v>
      </c>
      <c r="AB19" s="30">
        <f t="shared" si="0"/>
        <v>0.77349715204027936</v>
      </c>
      <c r="AC19" s="30">
        <f t="shared" si="1"/>
        <v>0.65649350649350635</v>
      </c>
      <c r="AD19" s="30">
        <f t="shared" si="2"/>
        <v>7.2899999999999991</v>
      </c>
      <c r="AE19" s="25"/>
      <c r="AF19" s="26"/>
      <c r="AG19" s="26"/>
      <c r="AH19" s="26"/>
      <c r="AI19" s="26"/>
      <c r="AJ19" s="26"/>
      <c r="AK19" s="26"/>
      <c r="AL19" s="26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</row>
    <row r="20" spans="1:124" ht="14.25" thickTop="1" thickBot="1">
      <c r="A20" s="122"/>
      <c r="B20" s="26"/>
      <c r="C20" s="26"/>
      <c r="D20" s="26"/>
      <c r="E20" s="26"/>
      <c r="F20" s="32"/>
      <c r="G20" s="26"/>
      <c r="H20" s="32"/>
      <c r="I20" s="32"/>
      <c r="J20" s="32"/>
      <c r="K20" s="38"/>
      <c r="L20" s="39">
        <f t="shared" si="3"/>
        <v>1.3089999999999999</v>
      </c>
      <c r="M20" s="39">
        <v>1424</v>
      </c>
      <c r="N20" s="39">
        <v>1.3089999999999999</v>
      </c>
      <c r="O20" s="39"/>
      <c r="P20" s="39"/>
      <c r="Q20" s="39"/>
      <c r="R20" s="39"/>
      <c r="S20" s="28"/>
      <c r="T20" s="29" t="s">
        <v>100</v>
      </c>
      <c r="U20" s="29" t="s">
        <v>101</v>
      </c>
      <c r="V20" s="29"/>
      <c r="W20" s="30" t="s">
        <v>102</v>
      </c>
      <c r="X20" s="30">
        <v>14.3734015345269</v>
      </c>
      <c r="Y20" s="30">
        <v>0.129</v>
      </c>
      <c r="Z20" s="30">
        <f>3.91*$L$15</f>
        <v>3910</v>
      </c>
      <c r="AA20" s="30">
        <f>43.8890582139592*$L$9</f>
        <v>143.99297314291061</v>
      </c>
      <c r="AB20" s="30">
        <f t="shared" si="0"/>
        <v>0.49522660407574165</v>
      </c>
      <c r="AC20" s="30">
        <f t="shared" si="1"/>
        <v>0.29931271477663229</v>
      </c>
      <c r="AD20" s="30">
        <f t="shared" si="2"/>
        <v>56.20000000000018</v>
      </c>
      <c r="AE20" s="49"/>
      <c r="AF20" s="50"/>
      <c r="AG20" s="50"/>
      <c r="AH20" s="50"/>
      <c r="AI20" s="50"/>
      <c r="AJ20" s="50"/>
      <c r="AK20" s="50"/>
      <c r="AL20" s="50"/>
      <c r="AM20" s="33"/>
      <c r="AN20" s="34"/>
      <c r="AO20" s="34"/>
      <c r="AP20" s="34"/>
      <c r="AQ20" s="34"/>
      <c r="AR20" s="34"/>
      <c r="AS20" s="34"/>
      <c r="AT20" s="34"/>
      <c r="AU20" s="34"/>
      <c r="AV20" s="34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</row>
    <row r="21" spans="1:124" ht="14.25" thickTop="1" thickBot="1">
      <c r="A21" s="126" t="s">
        <v>103</v>
      </c>
      <c r="B21" s="46" t="s">
        <v>104</v>
      </c>
      <c r="C21" s="46" t="s">
        <v>105</v>
      </c>
      <c r="D21" s="46" t="s">
        <v>106</v>
      </c>
      <c r="E21" s="46" t="s">
        <v>489</v>
      </c>
      <c r="F21" s="46" t="s">
        <v>107</v>
      </c>
      <c r="G21" s="46" t="s">
        <v>108</v>
      </c>
      <c r="H21" s="46" t="s">
        <v>109</v>
      </c>
      <c r="I21" s="32"/>
      <c r="J21" s="32"/>
      <c r="K21" s="38" t="s">
        <v>110</v>
      </c>
      <c r="L21" s="39">
        <f t="shared" si="3"/>
        <v>1.508</v>
      </c>
      <c r="M21" s="39">
        <v>1637</v>
      </c>
      <c r="N21" s="39">
        <v>1.508</v>
      </c>
      <c r="O21" s="39"/>
      <c r="P21" s="39"/>
      <c r="Q21" s="39"/>
      <c r="R21" s="39"/>
      <c r="S21" s="28"/>
      <c r="T21" s="29"/>
      <c r="U21" s="29" t="s">
        <v>111</v>
      </c>
      <c r="V21" s="29"/>
      <c r="W21" s="30" t="s">
        <v>112</v>
      </c>
      <c r="X21" s="30">
        <v>8.37662337662338</v>
      </c>
      <c r="Y21" s="30">
        <v>5.7000000000000002E-2</v>
      </c>
      <c r="Z21" s="30">
        <f>3.08*$L$15</f>
        <v>3080</v>
      </c>
      <c r="AA21" s="30">
        <f>45.7177689728741*$L$9</f>
        <v>149.99268035719831</v>
      </c>
      <c r="AB21" s="30">
        <f t="shared" si="0"/>
        <v>0.684049187630413</v>
      </c>
      <c r="AC21" s="30">
        <f t="shared" si="1"/>
        <v>0.45336538461538456</v>
      </c>
      <c r="AD21" s="30">
        <f t="shared" si="2"/>
        <v>25.800000000000011</v>
      </c>
      <c r="AE21" s="51" t="s">
        <v>113</v>
      </c>
      <c r="AF21" s="52"/>
      <c r="AG21" s="52"/>
      <c r="AH21" s="52"/>
      <c r="AI21" s="52"/>
      <c r="AJ21" s="52"/>
      <c r="AK21" s="52"/>
      <c r="AL21" s="52"/>
      <c r="AM21" s="33"/>
      <c r="AN21" s="34"/>
      <c r="AO21" s="34"/>
      <c r="AP21" s="34"/>
      <c r="AQ21" s="34"/>
      <c r="AR21" s="34"/>
      <c r="AS21" s="34"/>
      <c r="AT21" s="34"/>
      <c r="AU21" s="34"/>
      <c r="AV21" s="34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</row>
    <row r="22" spans="1:124" ht="14.25" thickTop="1" thickBot="1">
      <c r="A22" s="122"/>
      <c r="B22" s="30">
        <v>10</v>
      </c>
      <c r="C22" s="30">
        <v>0.2</v>
      </c>
      <c r="D22" s="40">
        <f>(D23*$L$15+(1-D23)*C39)</f>
        <v>2650</v>
      </c>
      <c r="E22" s="30">
        <f>70*$L$9</f>
        <v>229.6587926509184</v>
      </c>
      <c r="F22" s="28" t="s">
        <v>96</v>
      </c>
      <c r="G22" s="30">
        <v>0</v>
      </c>
      <c r="H22" s="30">
        <v>8.5855999999999995</v>
      </c>
      <c r="I22" s="31"/>
      <c r="J22" s="32"/>
      <c r="K22" s="38" t="s">
        <v>114</v>
      </c>
      <c r="L22" s="39">
        <f t="shared" si="3"/>
        <v>101.35</v>
      </c>
      <c r="M22" s="39">
        <v>14.65</v>
      </c>
      <c r="N22" s="39">
        <v>101.35</v>
      </c>
      <c r="O22" s="39"/>
      <c r="P22" s="39"/>
      <c r="Q22" s="39"/>
      <c r="R22" s="39"/>
      <c r="S22" s="28"/>
      <c r="T22" s="29"/>
      <c r="U22" s="29" t="s">
        <v>115</v>
      </c>
      <c r="V22" s="29"/>
      <c r="W22" s="30" t="s">
        <v>116</v>
      </c>
      <c r="X22" s="30">
        <v>16.440000000000001</v>
      </c>
      <c r="Y22" s="30">
        <v>-1.9E-2</v>
      </c>
      <c r="Z22" s="30">
        <f>5*$L$15</f>
        <v>5000</v>
      </c>
      <c r="AA22" s="30">
        <f>39.6220664431576*$L$9</f>
        <v>129.99365630957203</v>
      </c>
      <c r="AB22" s="30">
        <f t="shared" si="0"/>
        <v>0.37094483389210603</v>
      </c>
      <c r="AC22" s="30">
        <f t="shared" si="1"/>
        <v>0.25474999999999998</v>
      </c>
      <c r="AD22" s="30">
        <f t="shared" si="2"/>
        <v>82.2</v>
      </c>
      <c r="AE22" s="51"/>
      <c r="AF22" s="52"/>
      <c r="AG22" s="52"/>
      <c r="AH22" s="52"/>
      <c r="AI22" s="52"/>
      <c r="AJ22" s="52"/>
      <c r="AK22" s="52"/>
      <c r="AL22" s="52"/>
      <c r="AM22" s="33"/>
      <c r="AN22" s="34"/>
      <c r="AO22" s="34"/>
      <c r="AP22" s="34"/>
      <c r="AQ22" s="34"/>
      <c r="AR22" s="34"/>
      <c r="AS22" s="34"/>
      <c r="AT22" s="34"/>
      <c r="AU22" s="34"/>
      <c r="AV22" s="34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</row>
    <row r="23" spans="1:124" ht="14.25" thickTop="1" thickBot="1">
      <c r="A23" s="122"/>
      <c r="B23" s="26"/>
      <c r="C23" s="26" t="s">
        <v>117</v>
      </c>
      <c r="D23" s="30">
        <v>0</v>
      </c>
      <c r="E23" s="25"/>
      <c r="F23" s="32"/>
      <c r="G23" s="26"/>
      <c r="H23" s="26"/>
      <c r="I23" s="32"/>
      <c r="J23" s="32"/>
      <c r="K23" s="38" t="s">
        <v>118</v>
      </c>
      <c r="L23" s="39">
        <f t="shared" si="3"/>
        <v>175.868055555556</v>
      </c>
      <c r="M23" s="39">
        <v>4.5304645133198704</v>
      </c>
      <c r="N23" s="39">
        <v>175.868055555556</v>
      </c>
      <c r="O23" s="39"/>
      <c r="P23" s="39"/>
      <c r="Q23" s="39"/>
      <c r="R23" s="39"/>
      <c r="S23" s="28"/>
      <c r="T23" s="29" t="s">
        <v>119</v>
      </c>
      <c r="U23" s="29" t="s">
        <v>120</v>
      </c>
      <c r="V23" s="29"/>
      <c r="W23" s="30" t="s">
        <v>121</v>
      </c>
      <c r="X23" s="30">
        <v>6.6538461538461497</v>
      </c>
      <c r="Y23" s="30">
        <v>-6.0000000000000001E-3</v>
      </c>
      <c r="Z23" s="30">
        <f>3.12*$L$15</f>
        <v>3120</v>
      </c>
      <c r="AA23" s="30">
        <f>45.7177689728741*$L$9</f>
        <v>149.99268035719831</v>
      </c>
      <c r="AB23" s="30">
        <f t="shared" si="0"/>
        <v>0.6711425991845561</v>
      </c>
      <c r="AC23" s="30">
        <f t="shared" si="1"/>
        <v>0.47452830188679246</v>
      </c>
      <c r="AD23" s="30">
        <f t="shared" si="2"/>
        <v>20.759999999999984</v>
      </c>
      <c r="AE23" s="30" t="s">
        <v>122</v>
      </c>
      <c r="AF23" s="36"/>
      <c r="AG23" s="36"/>
      <c r="AH23" s="36"/>
      <c r="AI23" s="36"/>
      <c r="AJ23" s="36"/>
      <c r="AK23" s="36"/>
      <c r="AL23" s="36"/>
      <c r="AM23" s="31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</row>
    <row r="24" spans="1:124" ht="14.25" thickTop="1" thickBot="1">
      <c r="A24" s="126" t="s">
        <v>123</v>
      </c>
      <c r="B24" s="46" t="s">
        <v>124</v>
      </c>
      <c r="C24" s="46" t="s">
        <v>125</v>
      </c>
      <c r="D24" s="53" t="s">
        <v>126</v>
      </c>
      <c r="E24" s="46" t="s">
        <v>490</v>
      </c>
      <c r="F24" s="32"/>
      <c r="G24" s="32"/>
      <c r="H24" s="46" t="s">
        <v>127</v>
      </c>
      <c r="I24" s="32"/>
      <c r="J24" s="32"/>
      <c r="K24" s="38" t="s">
        <v>128</v>
      </c>
      <c r="L24" s="39" t="str">
        <f t="shared" ref="L24:L37" si="6">IF($A$15="M",N24,IF($I$51=1,K21,M24))</f>
        <v>meters</v>
      </c>
      <c r="M24" s="54" t="s">
        <v>110</v>
      </c>
      <c r="N24" s="54" t="s">
        <v>129</v>
      </c>
      <c r="O24" s="39"/>
      <c r="P24" s="39"/>
      <c r="Q24" s="39"/>
      <c r="R24" s="39"/>
      <c r="S24" s="28"/>
      <c r="T24" s="29"/>
      <c r="U24" s="29" t="s">
        <v>130</v>
      </c>
      <c r="V24" s="29"/>
      <c r="W24" s="30" t="s">
        <v>131</v>
      </c>
      <c r="X24" s="30">
        <v>4.7438423645320196</v>
      </c>
      <c r="Y24" s="30">
        <v>-1.7999999999999999E-2</v>
      </c>
      <c r="Z24" s="30">
        <f>2.03*$L$15</f>
        <v>2029.9999999999998</v>
      </c>
      <c r="AA24" s="30">
        <f>67.052727826882*$L$9</f>
        <v>219.98926452389085</v>
      </c>
      <c r="AB24" s="30">
        <f t="shared" si="0"/>
        <v>1.1742453609040586</v>
      </c>
      <c r="AC24" s="30">
        <f t="shared" si="1"/>
        <v>0.98834951456310705</v>
      </c>
      <c r="AD24" s="30">
        <f t="shared" si="2"/>
        <v>9.629999999999999</v>
      </c>
      <c r="AE24" s="33" t="s">
        <v>132</v>
      </c>
      <c r="AF24" s="34"/>
      <c r="AG24" s="34"/>
      <c r="AH24" s="34"/>
      <c r="AI24" s="34"/>
      <c r="AJ24" s="34"/>
      <c r="AK24" s="34"/>
      <c r="AL24" s="34"/>
      <c r="AM24" s="31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</row>
    <row r="25" spans="1:124" ht="14.25" thickTop="1" thickBot="1">
      <c r="A25" s="122"/>
      <c r="B25" s="30">
        <v>0.23</v>
      </c>
      <c r="C25" s="30">
        <v>1</v>
      </c>
      <c r="D25" s="30">
        <f>1*$L$15</f>
        <v>1000</v>
      </c>
      <c r="E25" s="30">
        <f>188*$L$9</f>
        <v>616.79790026246656</v>
      </c>
      <c r="F25" s="31"/>
      <c r="G25" s="32"/>
      <c r="H25" s="30">
        <v>1</v>
      </c>
      <c r="I25" s="31"/>
      <c r="J25" s="32"/>
      <c r="K25" s="38" t="s">
        <v>133</v>
      </c>
      <c r="L25" s="39" t="str">
        <f t="shared" si="6"/>
        <v>us/m</v>
      </c>
      <c r="M25" s="54" t="s">
        <v>114</v>
      </c>
      <c r="N25" s="54" t="s">
        <v>134</v>
      </c>
      <c r="O25" s="39"/>
      <c r="P25" s="39"/>
      <c r="Q25" s="39"/>
      <c r="R25" s="39"/>
      <c r="S25" s="28"/>
      <c r="T25" s="29"/>
      <c r="U25" s="29" t="s">
        <v>135</v>
      </c>
      <c r="V25" s="29"/>
      <c r="W25" s="30" t="s">
        <v>136</v>
      </c>
      <c r="X25" s="30">
        <v>8.7473118279569899</v>
      </c>
      <c r="Y25" s="30">
        <v>-4.1000000000000002E-2</v>
      </c>
      <c r="Z25" s="30">
        <f>1.86*$L$15</f>
        <v>1860</v>
      </c>
      <c r="AA25" s="30">
        <f>73.7580006095703*$L$9*$L$9</f>
        <v>793.92451107703414</v>
      </c>
      <c r="AB25" s="30">
        <f t="shared" si="0"/>
        <v>-0.62776966251488675</v>
      </c>
      <c r="AC25" s="30">
        <f t="shared" si="1"/>
        <v>1.2104651162790696</v>
      </c>
      <c r="AD25" s="30">
        <f t="shared" si="2"/>
        <v>16.270000000000003</v>
      </c>
      <c r="AE25" s="33" t="s">
        <v>137</v>
      </c>
      <c r="AF25" s="34"/>
      <c r="AG25" s="34"/>
      <c r="AH25" s="34"/>
      <c r="AI25" s="34"/>
      <c r="AJ25" s="34"/>
      <c r="AK25" s="34"/>
      <c r="AL25" s="34"/>
      <c r="AM25" s="31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</row>
    <row r="26" spans="1:124" ht="14.25" thickTop="1" thickBot="1">
      <c r="A26" s="122"/>
      <c r="B26" s="55" t="s">
        <v>138</v>
      </c>
      <c r="C26" s="56"/>
      <c r="D26" s="56"/>
      <c r="E26" s="56"/>
      <c r="F26" s="31"/>
      <c r="G26" s="32"/>
      <c r="H26" s="26"/>
      <c r="I26" s="32"/>
      <c r="J26" s="32"/>
      <c r="K26" s="38" t="s">
        <v>139</v>
      </c>
      <c r="L26" s="39" t="str">
        <f t="shared" si="6"/>
        <v>KPa</v>
      </c>
      <c r="M26" s="54" t="s">
        <v>118</v>
      </c>
      <c r="N26" s="54" t="s">
        <v>140</v>
      </c>
      <c r="O26" s="39"/>
      <c r="P26" s="39"/>
      <c r="Q26" s="39"/>
      <c r="R26" s="39"/>
      <c r="S26" s="28"/>
      <c r="T26" s="29"/>
      <c r="U26" s="29" t="s">
        <v>141</v>
      </c>
      <c r="V26" s="29"/>
      <c r="W26" s="30" t="s">
        <v>142</v>
      </c>
      <c r="X26" s="30">
        <v>4.2884615384615401</v>
      </c>
      <c r="Y26" s="30">
        <v>0.58399999999999996</v>
      </c>
      <c r="Z26" s="30">
        <f>1.56*$L$15</f>
        <v>1560</v>
      </c>
      <c r="AA26" s="30">
        <f>78.0249923803718*$L$9</f>
        <v>255.98750780961851</v>
      </c>
      <c r="AB26" s="30">
        <f t="shared" si="0"/>
        <v>1.9638394217790753</v>
      </c>
      <c r="AC26" s="30">
        <f t="shared" si="1"/>
        <v>0.74285714285714288</v>
      </c>
      <c r="AD26" s="30">
        <f t="shared" si="2"/>
        <v>6.6900000000000031</v>
      </c>
      <c r="AE26" s="33" t="s">
        <v>143</v>
      </c>
      <c r="AF26" s="34"/>
      <c r="AG26" s="34"/>
      <c r="AH26" s="34"/>
      <c r="AI26" s="34"/>
      <c r="AJ26" s="34"/>
      <c r="AK26" s="34"/>
      <c r="AL26" s="34"/>
      <c r="AM26" s="31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</row>
    <row r="27" spans="1:124" ht="14.25" thickTop="1" thickBot="1">
      <c r="A27" s="126" t="s">
        <v>144</v>
      </c>
      <c r="B27" s="53" t="s">
        <v>145</v>
      </c>
      <c r="C27" s="53" t="s">
        <v>146</v>
      </c>
      <c r="D27" s="53" t="s">
        <v>147</v>
      </c>
      <c r="E27" s="53" t="s">
        <v>491</v>
      </c>
      <c r="F27" s="32"/>
      <c r="G27" s="32"/>
      <c r="H27" s="32" t="s">
        <v>148</v>
      </c>
      <c r="I27" s="32"/>
      <c r="J27" s="32"/>
      <c r="K27" s="38" t="s">
        <v>149</v>
      </c>
      <c r="L27" s="39" t="str">
        <f t="shared" si="6"/>
        <v>m3/d</v>
      </c>
      <c r="M27" s="54" t="s">
        <v>150</v>
      </c>
      <c r="N27" s="54" t="s">
        <v>151</v>
      </c>
      <c r="O27" s="39"/>
      <c r="P27" s="39"/>
      <c r="Q27" s="39"/>
      <c r="R27" s="39"/>
      <c r="S27" s="28"/>
      <c r="T27" s="29" t="s">
        <v>152</v>
      </c>
      <c r="U27" s="29" t="s">
        <v>153</v>
      </c>
      <c r="V27" s="29"/>
      <c r="W27" s="30" t="s">
        <v>154</v>
      </c>
      <c r="X27" s="30">
        <v>0.17006802721088399</v>
      </c>
      <c r="Y27" s="30">
        <v>0.41399999999999998</v>
      </c>
      <c r="Z27" s="30">
        <f>1.47*$L$15</f>
        <v>1470</v>
      </c>
      <c r="AA27" s="30">
        <f>105.15086863761*$L$9</f>
        <v>344.98316482155474</v>
      </c>
      <c r="AB27" s="30">
        <f t="shared" si="0"/>
        <v>1.7627474757955321</v>
      </c>
      <c r="AC27" s="30">
        <f t="shared" si="1"/>
        <v>1.246808510638298</v>
      </c>
      <c r="AD27" s="30">
        <f t="shared" si="2"/>
        <v>0.24999999999999947</v>
      </c>
      <c r="AE27" s="33" t="s">
        <v>155</v>
      </c>
      <c r="AF27" s="34"/>
      <c r="AG27" s="34"/>
      <c r="AH27" s="34"/>
      <c r="AI27" s="34"/>
      <c r="AJ27" s="34"/>
      <c r="AK27" s="34"/>
      <c r="AL27" s="34"/>
      <c r="AM27" s="31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</row>
    <row r="28" spans="1:124" ht="14.25" thickTop="1" thickBot="1">
      <c r="A28" s="122"/>
      <c r="B28" s="30">
        <v>1.5</v>
      </c>
      <c r="C28" s="30">
        <v>1</v>
      </c>
      <c r="D28" s="30">
        <v>1000</v>
      </c>
      <c r="E28" s="30">
        <f>198*$L$9</f>
        <v>649.60629921259772</v>
      </c>
      <c r="F28" s="31"/>
      <c r="G28" s="32"/>
      <c r="H28" s="30">
        <v>1</v>
      </c>
      <c r="I28" s="31"/>
      <c r="J28" s="32"/>
      <c r="K28" s="38" t="s">
        <v>21</v>
      </c>
      <c r="L28" s="39" t="str">
        <f t="shared" si="6"/>
        <v>Kg/m3</v>
      </c>
      <c r="M28" s="54" t="s">
        <v>133</v>
      </c>
      <c r="N28" s="54" t="s">
        <v>156</v>
      </c>
      <c r="O28" s="39"/>
      <c r="P28" s="39"/>
      <c r="Q28" s="39"/>
      <c r="R28" s="39"/>
      <c r="S28" s="28"/>
      <c r="T28" s="29" t="s">
        <v>29</v>
      </c>
      <c r="U28" s="29" t="s">
        <v>157</v>
      </c>
      <c r="V28" s="29"/>
      <c r="W28" s="30" t="s">
        <v>158</v>
      </c>
      <c r="X28" s="30">
        <v>0.218487394957983</v>
      </c>
      <c r="Y28" s="30">
        <v>0.54200000000000004</v>
      </c>
      <c r="Z28" s="30">
        <f>1.19*$L$15</f>
        <v>1190</v>
      </c>
      <c r="AA28" s="30">
        <f>160.012191411155*$L$9</f>
        <v>524.97438127019302</v>
      </c>
      <c r="AB28" s="30">
        <f t="shared" si="0"/>
        <v>1.4730425573076316</v>
      </c>
      <c r="AC28" s="30">
        <f t="shared" si="1"/>
        <v>2.4105263157894736</v>
      </c>
      <c r="AD28" s="30">
        <f t="shared" si="2"/>
        <v>0.25999999999999979</v>
      </c>
      <c r="AE28" s="33" t="s">
        <v>159</v>
      </c>
      <c r="AF28" s="34"/>
      <c r="AG28" s="34"/>
      <c r="AH28" s="34"/>
      <c r="AI28" s="34"/>
      <c r="AJ28" s="34"/>
      <c r="AK28" s="34"/>
      <c r="AL28" s="34"/>
      <c r="AM28" s="31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</row>
    <row r="29" spans="1:124" ht="14.25" thickTop="1" thickBot="1">
      <c r="A29" s="122"/>
      <c r="B29" s="26"/>
      <c r="C29" s="26"/>
      <c r="D29" s="26"/>
      <c r="E29" s="26"/>
      <c r="F29" s="32"/>
      <c r="G29" s="32"/>
      <c r="H29" s="26"/>
      <c r="I29" s="32"/>
      <c r="J29" s="32"/>
      <c r="K29" s="38" t="s">
        <v>160</v>
      </c>
      <c r="L29" s="39" t="str">
        <f t="shared" si="6"/>
        <v>mm</v>
      </c>
      <c r="M29" s="54" t="s">
        <v>139</v>
      </c>
      <c r="N29" s="54" t="s">
        <v>161</v>
      </c>
      <c r="O29" s="39"/>
      <c r="P29" s="39"/>
      <c r="Q29" s="39"/>
      <c r="R29" s="39"/>
      <c r="S29" s="28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33" t="s">
        <v>162</v>
      </c>
      <c r="AF29" s="34"/>
      <c r="AG29" s="34"/>
      <c r="AH29" s="34"/>
      <c r="AI29" s="34"/>
      <c r="AJ29" s="34"/>
      <c r="AK29" s="34"/>
      <c r="AL29" s="34"/>
      <c r="AM29" s="31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</row>
    <row r="30" spans="1:124" ht="14.25" thickTop="1" thickBot="1">
      <c r="A30" s="126" t="s">
        <v>163</v>
      </c>
      <c r="B30" s="46" t="s">
        <v>164</v>
      </c>
      <c r="C30" s="46" t="s">
        <v>165</v>
      </c>
      <c r="D30" s="46" t="s">
        <v>166</v>
      </c>
      <c r="E30" s="46" t="s">
        <v>492</v>
      </c>
      <c r="F30" s="46" t="s">
        <v>167</v>
      </c>
      <c r="G30" s="46" t="s">
        <v>168</v>
      </c>
      <c r="H30" s="46" t="s">
        <v>169</v>
      </c>
      <c r="I30" s="55" t="s">
        <v>170</v>
      </c>
      <c r="J30" s="56"/>
      <c r="K30" s="38" t="s">
        <v>171</v>
      </c>
      <c r="L30" s="39" t="str">
        <f t="shared" si="6"/>
        <v>'C</v>
      </c>
      <c r="M30" s="54" t="s">
        <v>149</v>
      </c>
      <c r="N30" s="54" t="s">
        <v>172</v>
      </c>
      <c r="O30" s="39"/>
      <c r="P30" s="39"/>
      <c r="Q30" s="39"/>
      <c r="R30" s="39"/>
      <c r="S30" s="28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33" t="s">
        <v>173</v>
      </c>
      <c r="AF30" s="34"/>
      <c r="AG30" s="34"/>
      <c r="AH30" s="34"/>
      <c r="AI30" s="34"/>
      <c r="AJ30" s="34"/>
      <c r="AK30" s="34"/>
      <c r="AL30" s="34"/>
      <c r="AM30" s="31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</row>
    <row r="31" spans="1:124" ht="14.25" thickTop="1" thickBot="1">
      <c r="A31" s="124" t="s">
        <v>27</v>
      </c>
      <c r="B31" s="30">
        <v>1.80377358490566</v>
      </c>
      <c r="C31" s="30">
        <v>-2.8000000000000001E-2</v>
      </c>
      <c r="D31" s="30">
        <f>2.65*$L$15</f>
        <v>2650</v>
      </c>
      <c r="E31" s="30">
        <f>55.5*$L$9</f>
        <v>182.08661417322816</v>
      </c>
      <c r="F31" s="30">
        <f>0.01*($E$25-E31)/(D31-$D$25)/$L$9*$L$15</f>
        <v>0.80303030303030309</v>
      </c>
      <c r="G31" s="30">
        <f>($C$25-C31)/(D31-$D$25)*$L$15</f>
        <v>0.62303030303030305</v>
      </c>
      <c r="H31" s="30">
        <f>D31*B31/$L$15</f>
        <v>4.7799999999999994</v>
      </c>
      <c r="I31" s="57" t="s">
        <v>174</v>
      </c>
      <c r="J31" s="58"/>
      <c r="K31" s="38" t="s">
        <v>175</v>
      </c>
      <c r="L31" s="39" t="str">
        <f t="shared" si="6"/>
        <v>Metric</v>
      </c>
      <c r="M31" s="54" t="s">
        <v>21</v>
      </c>
      <c r="N31" s="54" t="s">
        <v>176</v>
      </c>
      <c r="O31" s="39"/>
      <c r="P31" s="39"/>
      <c r="Q31" s="39"/>
      <c r="R31" s="39"/>
      <c r="S31" s="28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3" t="s">
        <v>177</v>
      </c>
      <c r="AF31" s="34"/>
      <c r="AG31" s="34"/>
      <c r="AH31" s="34"/>
      <c r="AI31" s="34"/>
      <c r="AJ31" s="34"/>
      <c r="AK31" s="34"/>
      <c r="AL31" s="34"/>
      <c r="AM31" s="31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</row>
    <row r="32" spans="1:124" ht="13.5" thickTop="1">
      <c r="A32" s="125"/>
      <c r="B32" s="26"/>
      <c r="C32" s="26"/>
      <c r="D32" s="26"/>
      <c r="E32" s="26"/>
      <c r="F32" s="26"/>
      <c r="G32" s="26"/>
      <c r="H32" s="26"/>
      <c r="I32" s="57" t="s">
        <v>178</v>
      </c>
      <c r="J32" s="58"/>
      <c r="K32" s="38" t="s">
        <v>179</v>
      </c>
      <c r="L32" s="39" t="str">
        <f t="shared" si="6"/>
        <v>md-m</v>
      </c>
      <c r="M32" s="54" t="s">
        <v>160</v>
      </c>
      <c r="N32" s="54" t="s">
        <v>180</v>
      </c>
      <c r="O32" s="39"/>
      <c r="P32" s="39"/>
      <c r="Q32" s="39"/>
      <c r="R32" s="39"/>
      <c r="S32" s="28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3" t="s">
        <v>181</v>
      </c>
      <c r="AF32" s="34"/>
      <c r="AG32" s="34"/>
      <c r="AH32" s="34"/>
      <c r="AI32" s="34"/>
      <c r="AJ32" s="34"/>
      <c r="AK32" s="34"/>
      <c r="AL32" s="34"/>
      <c r="AM32" s="31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</row>
    <row r="33" spans="1:124" ht="13.5" thickBot="1">
      <c r="A33" s="126" t="s">
        <v>182</v>
      </c>
      <c r="B33" s="46" t="s">
        <v>183</v>
      </c>
      <c r="C33" s="46" t="s">
        <v>184</v>
      </c>
      <c r="D33" s="46" t="s">
        <v>185</v>
      </c>
      <c r="E33" s="46" t="s">
        <v>493</v>
      </c>
      <c r="F33" s="46" t="s">
        <v>186</v>
      </c>
      <c r="G33" s="46" t="s">
        <v>187</v>
      </c>
      <c r="H33" s="46" t="s">
        <v>188</v>
      </c>
      <c r="I33" s="57" t="s">
        <v>189</v>
      </c>
      <c r="J33" s="58"/>
      <c r="K33" s="38" t="s">
        <v>190</v>
      </c>
      <c r="L33" s="39" t="str">
        <f t="shared" si="6"/>
        <v>m3</v>
      </c>
      <c r="M33" s="54" t="s">
        <v>191</v>
      </c>
      <c r="N33" s="54" t="s">
        <v>192</v>
      </c>
      <c r="O33" s="39"/>
      <c r="P33" s="39"/>
      <c r="Q33" s="39"/>
      <c r="R33" s="39"/>
      <c r="S33" s="28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3" t="s">
        <v>193</v>
      </c>
      <c r="AF33" s="34"/>
      <c r="AG33" s="34"/>
      <c r="AH33" s="34"/>
      <c r="AI33" s="34"/>
      <c r="AJ33" s="34"/>
      <c r="AK33" s="34"/>
      <c r="AL33" s="34"/>
      <c r="AM33" s="31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</row>
    <row r="34" spans="1:124" ht="14.25" thickTop="1" thickBot="1">
      <c r="A34" s="124" t="s">
        <v>35</v>
      </c>
      <c r="B34" s="30">
        <v>3.1358885017421598</v>
      </c>
      <c r="C34" s="30">
        <v>5.0000000000000001E-3</v>
      </c>
      <c r="D34" s="30">
        <f>2.87*$L$15</f>
        <v>2870</v>
      </c>
      <c r="E34" s="30">
        <f>43.8890582139592*$L$9</f>
        <v>143.99297314291061</v>
      </c>
      <c r="F34" s="30">
        <f>0.01*($E$25-E34)/(D34-$D$25)/$L$9*$L$15</f>
        <v>0.7706467475189348</v>
      </c>
      <c r="G34" s="30">
        <f>($C$25-C34)/(D34-$D$25)*$L$15</f>
        <v>0.53208556149732622</v>
      </c>
      <c r="H34" s="30">
        <f>D34*B34/$L$15</f>
        <v>8.9999999999999982</v>
      </c>
      <c r="I34" s="57" t="s">
        <v>174</v>
      </c>
      <c r="J34" s="58"/>
      <c r="K34" s="38" t="s">
        <v>194</v>
      </c>
      <c r="L34" s="39" t="str">
        <f t="shared" si="6"/>
        <v>$/m3</v>
      </c>
      <c r="M34" s="54" t="s">
        <v>195</v>
      </c>
      <c r="N34" s="54" t="s">
        <v>196</v>
      </c>
      <c r="O34" s="39"/>
      <c r="P34" s="39"/>
      <c r="Q34" s="39"/>
      <c r="R34" s="39"/>
      <c r="S34" s="28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3" t="s">
        <v>197</v>
      </c>
      <c r="AF34" s="34"/>
      <c r="AG34" s="34"/>
      <c r="AH34" s="34"/>
      <c r="AI34" s="34"/>
      <c r="AJ34" s="34"/>
      <c r="AK34" s="34"/>
      <c r="AL34" s="34"/>
      <c r="AM34" s="31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</row>
    <row r="35" spans="1:124" ht="14.25" thickTop="1" thickBot="1">
      <c r="A35" s="125"/>
      <c r="B35" s="26"/>
      <c r="C35" s="26"/>
      <c r="D35" s="26"/>
      <c r="E35" s="26"/>
      <c r="F35" s="26"/>
      <c r="G35" s="26"/>
      <c r="H35" s="26"/>
      <c r="I35" s="57" t="s">
        <v>198</v>
      </c>
      <c r="J35" s="58"/>
      <c r="K35" s="38" t="s">
        <v>199</v>
      </c>
      <c r="L35" s="39" t="str">
        <f t="shared" si="6"/>
        <v>m3/KPa</v>
      </c>
      <c r="M35" s="54" t="s">
        <v>179</v>
      </c>
      <c r="N35" s="54" t="s">
        <v>200</v>
      </c>
      <c r="O35" s="39"/>
      <c r="P35" s="39"/>
      <c r="Q35" s="39"/>
      <c r="R35" s="39"/>
      <c r="S35" s="28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3" t="s">
        <v>201</v>
      </c>
      <c r="AF35" s="34"/>
      <c r="AG35" s="34"/>
      <c r="AH35" s="34"/>
      <c r="AI35" s="34"/>
      <c r="AJ35" s="34"/>
      <c r="AK35" s="34"/>
      <c r="AL35" s="34"/>
      <c r="AM35" s="31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</row>
    <row r="36" spans="1:124" ht="14.25" thickTop="1" thickBot="1">
      <c r="A36" s="126" t="s">
        <v>202</v>
      </c>
      <c r="B36" s="46" t="s">
        <v>203</v>
      </c>
      <c r="C36" s="46" t="s">
        <v>204</v>
      </c>
      <c r="D36" s="46" t="s">
        <v>205</v>
      </c>
      <c r="E36" s="46" t="s">
        <v>494</v>
      </c>
      <c r="F36" s="46" t="s">
        <v>206</v>
      </c>
      <c r="G36" s="46" t="s">
        <v>207</v>
      </c>
      <c r="H36" s="46" t="s">
        <v>208</v>
      </c>
      <c r="I36" s="26"/>
      <c r="J36" s="26"/>
      <c r="K36" s="38" t="s">
        <v>209</v>
      </c>
      <c r="L36" s="39" t="str">
        <f t="shared" si="6"/>
        <v>1000bbl</v>
      </c>
      <c r="M36" s="54" t="s">
        <v>210</v>
      </c>
      <c r="N36" s="54" t="s">
        <v>210</v>
      </c>
      <c r="O36" s="39"/>
      <c r="P36" s="39"/>
      <c r="Q36" s="39"/>
      <c r="R36" s="39"/>
      <c r="S36" s="28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3" t="s">
        <v>211</v>
      </c>
      <c r="AF36" s="34"/>
      <c r="AG36" s="34"/>
      <c r="AH36" s="34"/>
      <c r="AI36" s="34"/>
      <c r="AJ36" s="34"/>
      <c r="AK36" s="34"/>
      <c r="AL36" s="34"/>
      <c r="AM36" s="31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2"/>
      <c r="DG36" s="32"/>
      <c r="DH36" s="32"/>
      <c r="DI36" s="32"/>
      <c r="DJ36" s="35"/>
      <c r="DK36" s="35"/>
      <c r="DL36" s="35"/>
      <c r="DM36" s="35"/>
      <c r="DN36" s="35"/>
      <c r="DO36" s="35"/>
      <c r="DP36" s="35"/>
      <c r="DQ36" s="35"/>
      <c r="DR36" s="35"/>
      <c r="DS36" s="35"/>
      <c r="DT36" s="35"/>
    </row>
    <row r="37" spans="1:124" ht="14.25" thickTop="1" thickBot="1">
      <c r="A37" s="124" t="s">
        <v>31</v>
      </c>
      <c r="B37" s="30">
        <v>5.0811808118081201</v>
      </c>
      <c r="C37" s="30">
        <v>0</v>
      </c>
      <c r="D37" s="30">
        <f>2.71*$L$15</f>
        <v>2710</v>
      </c>
      <c r="E37" s="30">
        <f>47.2416946053033*$L$9</f>
        <v>154.99243636910515</v>
      </c>
      <c r="F37" s="30">
        <f>0.01*($E$25-E37)/(D37-$D$25)/$L$9*$L$15</f>
        <v>0.82314798476430828</v>
      </c>
      <c r="G37" s="30">
        <f>($C$25-C37)/(D37-$D$25)*$L$15</f>
        <v>0.58479532163742687</v>
      </c>
      <c r="H37" s="30">
        <f>D37*B37/$L$15</f>
        <v>13.770000000000005</v>
      </c>
      <c r="I37" s="31" t="s">
        <v>32</v>
      </c>
      <c r="J37" s="32"/>
      <c r="K37" s="38" t="s">
        <v>212</v>
      </c>
      <c r="L37" s="39" t="str">
        <f t="shared" si="6"/>
        <v xml:space="preserve"> bbl/d</v>
      </c>
      <c r="M37" s="54" t="s">
        <v>213</v>
      </c>
      <c r="N37" s="54" t="s">
        <v>213</v>
      </c>
      <c r="O37" s="39"/>
      <c r="P37" s="39"/>
      <c r="Q37" s="39"/>
      <c r="R37" s="39"/>
      <c r="S37" s="28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3" t="s">
        <v>214</v>
      </c>
      <c r="AF37" s="34"/>
      <c r="AG37" s="34"/>
      <c r="AH37" s="34"/>
      <c r="AI37" s="34"/>
      <c r="AJ37" s="34"/>
      <c r="AK37" s="34"/>
      <c r="AL37" s="34"/>
      <c r="AM37" s="31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  <c r="DE37" s="32"/>
      <c r="DF37" s="32"/>
      <c r="DG37" s="32"/>
      <c r="DH37" s="32"/>
      <c r="DI37" s="32"/>
      <c r="DJ37" s="35"/>
      <c r="DK37" s="35"/>
      <c r="DL37" s="35"/>
      <c r="DM37" s="35"/>
      <c r="DN37" s="35"/>
      <c r="DO37" s="35"/>
      <c r="DP37" s="35"/>
      <c r="DQ37" s="35"/>
      <c r="DR37" s="35"/>
      <c r="DS37" s="35"/>
      <c r="DT37" s="35"/>
    </row>
    <row r="38" spans="1:124" ht="14.25" thickTop="1" thickBot="1">
      <c r="A38" s="125"/>
      <c r="B38" s="26"/>
      <c r="C38" s="26"/>
      <c r="D38" s="26"/>
      <c r="E38" s="26"/>
      <c r="F38" s="26"/>
      <c r="G38" s="26"/>
      <c r="H38" s="26"/>
      <c r="I38" s="32"/>
      <c r="J38" s="32"/>
      <c r="K38" s="59"/>
      <c r="L38" s="39" t="str">
        <f>IF($A$15="M",N38,M38)</f>
        <v>m3</v>
      </c>
      <c r="M38" s="54" t="s">
        <v>191</v>
      </c>
      <c r="N38" s="54" t="s">
        <v>192</v>
      </c>
      <c r="O38" s="39"/>
      <c r="P38" s="39"/>
      <c r="Q38" s="39"/>
      <c r="R38" s="39"/>
      <c r="S38" s="28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3" t="s">
        <v>215</v>
      </c>
      <c r="AF38" s="34"/>
      <c r="AG38" s="34"/>
      <c r="AH38" s="34"/>
      <c r="AI38" s="34"/>
      <c r="AJ38" s="34"/>
      <c r="AK38" s="34"/>
      <c r="AL38" s="34"/>
      <c r="AM38" s="31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5"/>
      <c r="DK38" s="35"/>
      <c r="DL38" s="35"/>
      <c r="DM38" s="35"/>
      <c r="DN38" s="35"/>
      <c r="DO38" s="35"/>
      <c r="DP38" s="35"/>
      <c r="DQ38" s="35"/>
      <c r="DR38" s="35"/>
      <c r="DS38" s="35"/>
      <c r="DT38" s="35"/>
    </row>
    <row r="39" spans="1:124" ht="14.25" thickTop="1" thickBot="1">
      <c r="A39" s="122" t="s">
        <v>216</v>
      </c>
      <c r="B39" s="32"/>
      <c r="C39" s="30">
        <f>2.65*$L$15</f>
        <v>2650</v>
      </c>
      <c r="D39" s="31" t="s">
        <v>217</v>
      </c>
      <c r="E39" s="32"/>
      <c r="F39" s="32"/>
      <c r="G39" s="32"/>
      <c r="H39" s="32"/>
      <c r="I39" s="32"/>
      <c r="J39" s="32"/>
      <c r="K39" s="59"/>
      <c r="L39" s="39" t="str">
        <f>IF($A$15="M",N39,M39)</f>
        <v xml:space="preserve">  Oil</v>
      </c>
      <c r="M39" s="54" t="s">
        <v>218</v>
      </c>
      <c r="N39" s="54" t="s">
        <v>218</v>
      </c>
      <c r="O39" s="39"/>
      <c r="P39" s="39"/>
      <c r="Q39" s="39"/>
      <c r="R39" s="39"/>
      <c r="S39" s="28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3" t="s">
        <v>219</v>
      </c>
      <c r="AF39" s="34"/>
      <c r="AG39" s="34"/>
      <c r="AH39" s="34"/>
      <c r="AI39" s="34"/>
      <c r="AJ39" s="34"/>
      <c r="AK39" s="34"/>
      <c r="AL39" s="34"/>
      <c r="AM39" s="31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/>
      <c r="CG39" s="32"/>
      <c r="CH39" s="32"/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2"/>
      <c r="DE39" s="32"/>
      <c r="DF39" s="32"/>
      <c r="DG39" s="32"/>
      <c r="DH39" s="32"/>
      <c r="DI39" s="32"/>
      <c r="DJ39" s="35"/>
      <c r="DK39" s="35"/>
      <c r="DL39" s="35"/>
      <c r="DM39" s="35"/>
      <c r="DN39" s="35"/>
      <c r="DO39" s="35"/>
      <c r="DP39" s="35"/>
      <c r="DQ39" s="35"/>
      <c r="DR39" s="35"/>
      <c r="DS39" s="35"/>
      <c r="DT39" s="35"/>
    </row>
    <row r="40" spans="1:124" ht="13.5" thickTop="1">
      <c r="A40" s="122"/>
      <c r="B40" s="32"/>
      <c r="C40" s="26"/>
      <c r="D40" s="32"/>
      <c r="E40" s="32"/>
      <c r="F40" s="32"/>
      <c r="G40" s="32"/>
      <c r="H40" s="32"/>
      <c r="I40" s="32"/>
      <c r="J40" s="32"/>
      <c r="K40" s="59"/>
      <c r="L40" s="39" t="str">
        <f>IF($A$15="M",N40,M40)</f>
        <v>10^3m3</v>
      </c>
      <c r="M40" s="54" t="s">
        <v>220</v>
      </c>
      <c r="N40" s="54" t="s">
        <v>220</v>
      </c>
      <c r="O40" s="39"/>
      <c r="P40" s="39"/>
      <c r="Q40" s="39"/>
      <c r="R40" s="39"/>
      <c r="S40" s="28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3" t="s">
        <v>221</v>
      </c>
      <c r="AF40" s="34"/>
      <c r="AG40" s="34"/>
      <c r="AH40" s="34"/>
      <c r="AI40" s="34"/>
      <c r="AJ40" s="34"/>
      <c r="AK40" s="34"/>
      <c r="AL40" s="34"/>
      <c r="AM40" s="31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2"/>
      <c r="DB40" s="32"/>
      <c r="DC40" s="32"/>
      <c r="DD40" s="32"/>
      <c r="DE40" s="32"/>
      <c r="DF40" s="32"/>
      <c r="DG40" s="32"/>
      <c r="DH40" s="32"/>
      <c r="DI40" s="32"/>
      <c r="DJ40" s="35"/>
      <c r="DK40" s="35"/>
      <c r="DL40" s="35"/>
      <c r="DM40" s="35"/>
      <c r="DN40" s="35"/>
      <c r="DO40" s="35"/>
      <c r="DP40" s="35"/>
      <c r="DQ40" s="35"/>
      <c r="DR40" s="35"/>
      <c r="DS40" s="35"/>
      <c r="DT40" s="35"/>
    </row>
    <row r="41" spans="1:124" ht="13.5" thickBot="1">
      <c r="A41" s="126" t="s">
        <v>222</v>
      </c>
      <c r="B41" s="32"/>
      <c r="C41" s="46" t="s">
        <v>223</v>
      </c>
      <c r="D41" s="32"/>
      <c r="E41" s="32"/>
      <c r="F41" s="32"/>
      <c r="G41" s="32" t="s">
        <v>224</v>
      </c>
      <c r="H41" s="32"/>
      <c r="I41" s="46" t="s">
        <v>225</v>
      </c>
      <c r="J41" s="32"/>
      <c r="K41" s="59"/>
      <c r="L41" s="39"/>
      <c r="M41" s="39"/>
      <c r="N41" s="39"/>
      <c r="O41" s="39"/>
      <c r="P41" s="39"/>
      <c r="Q41" s="39"/>
      <c r="R41" s="39"/>
      <c r="S41" s="28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3"/>
      <c r="AF41" s="34"/>
      <c r="AG41" s="34"/>
      <c r="AH41" s="34"/>
      <c r="AI41" s="34"/>
      <c r="AJ41" s="34"/>
      <c r="AK41" s="34"/>
      <c r="AL41" s="34"/>
      <c r="AM41" s="31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  <c r="DC41" s="32"/>
      <c r="DD41" s="32"/>
      <c r="DE41" s="32"/>
      <c r="DF41" s="32"/>
      <c r="DG41" s="32"/>
      <c r="DH41" s="32"/>
      <c r="DI41" s="32"/>
      <c r="DJ41" s="35"/>
      <c r="DK41" s="35"/>
      <c r="DL41" s="35"/>
      <c r="DM41" s="35"/>
      <c r="DN41" s="35"/>
      <c r="DO41" s="35"/>
      <c r="DP41" s="35"/>
      <c r="DQ41" s="35"/>
      <c r="DR41" s="35"/>
      <c r="DS41" s="35"/>
      <c r="DT41" s="35"/>
    </row>
    <row r="42" spans="1:124" ht="14.25" thickTop="1" thickBot="1">
      <c r="A42" s="124">
        <v>15</v>
      </c>
      <c r="B42" s="31" t="str">
        <f>$L$30</f>
        <v>'C</v>
      </c>
      <c r="C42" s="30">
        <v>0.62</v>
      </c>
      <c r="D42" s="31"/>
      <c r="E42" s="32"/>
      <c r="F42" s="32"/>
      <c r="G42" s="30">
        <v>0</v>
      </c>
      <c r="H42" s="31"/>
      <c r="I42" s="30">
        <v>1</v>
      </c>
      <c r="J42" s="31"/>
      <c r="K42" s="25"/>
      <c r="L42" s="26"/>
      <c r="M42" s="26"/>
      <c r="N42" s="26"/>
      <c r="O42" s="26"/>
      <c r="P42" s="26"/>
      <c r="Q42" s="26"/>
      <c r="R42" s="26"/>
      <c r="S42" s="46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3" t="s">
        <v>226</v>
      </c>
      <c r="AF42" s="34"/>
      <c r="AG42" s="34"/>
      <c r="AH42" s="34"/>
      <c r="AI42" s="34"/>
      <c r="AJ42" s="34"/>
      <c r="AK42" s="34"/>
      <c r="AL42" s="34"/>
      <c r="AM42" s="31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2"/>
      <c r="DE42" s="32"/>
      <c r="DF42" s="32"/>
      <c r="DG42" s="32"/>
      <c r="DH42" s="32"/>
      <c r="DI42" s="32"/>
      <c r="DJ42" s="35"/>
      <c r="DK42" s="35"/>
      <c r="DL42" s="35"/>
      <c r="DM42" s="35"/>
      <c r="DN42" s="35"/>
      <c r="DO42" s="35"/>
      <c r="DP42" s="35"/>
      <c r="DQ42" s="35"/>
      <c r="DR42" s="35"/>
      <c r="DS42" s="35"/>
      <c r="DT42" s="35"/>
    </row>
    <row r="43" spans="1:124" ht="14.25" thickTop="1" thickBot="1">
      <c r="A43" s="125"/>
      <c r="B43" s="32"/>
      <c r="C43" s="26"/>
      <c r="D43" s="32"/>
      <c r="E43" s="32"/>
      <c r="F43" s="32"/>
      <c r="G43" s="60">
        <f>IF($I$51,G42,0)</f>
        <v>0</v>
      </c>
      <c r="H43" s="32"/>
      <c r="I43" s="26"/>
      <c r="J43" s="32"/>
      <c r="K43" s="61" t="s">
        <v>227</v>
      </c>
      <c r="L43" s="62"/>
      <c r="M43" s="62"/>
      <c r="N43" s="62"/>
      <c r="O43" s="62"/>
      <c r="P43" s="62"/>
      <c r="Q43" s="62"/>
      <c r="R43" s="62"/>
      <c r="S43" s="62"/>
      <c r="T43" s="62"/>
      <c r="U43" s="31"/>
      <c r="V43" s="32"/>
      <c r="W43" s="32"/>
      <c r="X43" s="32"/>
      <c r="Y43" s="32"/>
      <c r="Z43" s="32"/>
      <c r="AA43" s="32"/>
      <c r="AB43" s="32"/>
      <c r="AC43" s="32"/>
      <c r="AD43" s="32"/>
      <c r="AE43" s="33"/>
      <c r="AF43" s="34"/>
      <c r="AG43" s="34"/>
      <c r="AH43" s="34"/>
      <c r="AI43" s="34"/>
      <c r="AJ43" s="34"/>
      <c r="AK43" s="34"/>
      <c r="AL43" s="34"/>
      <c r="AM43" s="31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2"/>
      <c r="CL43" s="32"/>
      <c r="CM43" s="32"/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2"/>
      <c r="DB43" s="32"/>
      <c r="DC43" s="32"/>
      <c r="DD43" s="32"/>
      <c r="DE43" s="32"/>
      <c r="DF43" s="32"/>
      <c r="DG43" s="32"/>
      <c r="DH43" s="32"/>
      <c r="DI43" s="32"/>
      <c r="DJ43" s="35"/>
      <c r="DK43" s="35"/>
      <c r="DL43" s="35"/>
      <c r="DM43" s="35"/>
      <c r="DN43" s="35"/>
      <c r="DO43" s="35"/>
      <c r="DP43" s="35"/>
      <c r="DQ43" s="35"/>
      <c r="DR43" s="35"/>
      <c r="DS43" s="35"/>
      <c r="DT43" s="35"/>
    </row>
    <row r="44" spans="1:124" ht="14.25" thickTop="1" thickBot="1">
      <c r="A44" s="126" t="s">
        <v>228</v>
      </c>
      <c r="B44" s="32"/>
      <c r="C44" s="46" t="s">
        <v>53</v>
      </c>
      <c r="D44" s="32"/>
      <c r="E44" s="32"/>
      <c r="F44" s="32"/>
      <c r="G44" s="46" t="s">
        <v>229</v>
      </c>
      <c r="H44" s="32"/>
      <c r="I44" s="46" t="s">
        <v>230</v>
      </c>
      <c r="J44" s="32"/>
      <c r="K44" s="63" t="s">
        <v>231</v>
      </c>
      <c r="L44" s="64"/>
      <c r="M44" s="64"/>
      <c r="N44" s="64"/>
      <c r="O44" s="64"/>
      <c r="P44" s="64"/>
      <c r="Q44" s="64"/>
      <c r="R44" s="64"/>
      <c r="S44" s="64"/>
      <c r="T44" s="64"/>
      <c r="U44" s="31"/>
      <c r="V44" s="32"/>
      <c r="W44" s="32"/>
      <c r="X44" s="32"/>
      <c r="Y44" s="32"/>
      <c r="Z44" s="32"/>
      <c r="AA44" s="32"/>
      <c r="AB44" s="32"/>
      <c r="AC44" s="32"/>
      <c r="AD44" s="32"/>
      <c r="AE44" s="26"/>
      <c r="AF44" s="26"/>
      <c r="AG44" s="26"/>
      <c r="AH44" s="26"/>
      <c r="AI44" s="26"/>
      <c r="AJ44" s="26"/>
      <c r="AK44" s="26"/>
      <c r="AL44" s="26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BZ44" s="32"/>
      <c r="CA44" s="32"/>
      <c r="CB44" s="32"/>
      <c r="CC44" s="32"/>
      <c r="CD44" s="32"/>
      <c r="CE44" s="32"/>
      <c r="CF44" s="32"/>
      <c r="CG44" s="32"/>
      <c r="CH44" s="32"/>
      <c r="CI44" s="32"/>
      <c r="CJ44" s="32"/>
      <c r="CK44" s="32"/>
      <c r="CL44" s="32"/>
      <c r="CM44" s="32"/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  <c r="DC44" s="32"/>
      <c r="DD44" s="32"/>
      <c r="DE44" s="32"/>
      <c r="DF44" s="32"/>
      <c r="DG44" s="32"/>
      <c r="DH44" s="32"/>
      <c r="DI44" s="32"/>
      <c r="DJ44" s="35"/>
      <c r="DK44" s="35"/>
      <c r="DL44" s="35"/>
      <c r="DM44" s="35"/>
      <c r="DN44" s="35"/>
      <c r="DO44" s="35"/>
      <c r="DP44" s="35"/>
      <c r="DQ44" s="35"/>
      <c r="DR44" s="35"/>
      <c r="DS44" s="35"/>
      <c r="DT44" s="35"/>
    </row>
    <row r="45" spans="1:124" ht="14.25" thickTop="1" thickBot="1">
      <c r="A45" s="124">
        <v>25</v>
      </c>
      <c r="B45" s="31" t="str">
        <f>$L$30</f>
        <v>'C</v>
      </c>
      <c r="C45" s="30">
        <v>2.15</v>
      </c>
      <c r="D45" s="31"/>
      <c r="E45" s="32"/>
      <c r="F45" s="32"/>
      <c r="G45" s="30">
        <v>1</v>
      </c>
      <c r="H45" s="31"/>
      <c r="I45" s="30">
        <v>1</v>
      </c>
      <c r="J45" s="31"/>
      <c r="K45" s="25"/>
      <c r="L45" s="26"/>
      <c r="M45" s="26"/>
      <c r="N45" s="26"/>
      <c r="O45" s="30">
        <v>0</v>
      </c>
      <c r="P45" s="25" t="s">
        <v>232</v>
      </c>
      <c r="Q45" s="26"/>
      <c r="R45" s="30">
        <v>1</v>
      </c>
      <c r="S45" s="25" t="s">
        <v>233</v>
      </c>
      <c r="T45" s="26"/>
      <c r="U45" s="31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2"/>
      <c r="DE45" s="32"/>
      <c r="DF45" s="32"/>
      <c r="DG45" s="32"/>
      <c r="DH45" s="32"/>
      <c r="DI45" s="32"/>
      <c r="DJ45" s="35"/>
      <c r="DK45" s="35"/>
      <c r="DL45" s="35"/>
      <c r="DM45" s="35"/>
      <c r="DN45" s="35"/>
      <c r="DO45" s="35"/>
      <c r="DP45" s="35"/>
      <c r="DQ45" s="35"/>
      <c r="DR45" s="35"/>
      <c r="DS45" s="35"/>
      <c r="DT45" s="35"/>
    </row>
    <row r="46" spans="1:124" ht="14.25" thickTop="1" thickBot="1">
      <c r="A46" s="125"/>
      <c r="B46" s="32"/>
      <c r="C46" s="26"/>
      <c r="D46" s="32"/>
      <c r="E46" s="32"/>
      <c r="F46" s="32"/>
      <c r="G46" s="26"/>
      <c r="H46" s="32"/>
      <c r="I46" s="26"/>
      <c r="J46" s="32"/>
      <c r="K46" s="31" t="s">
        <v>234</v>
      </c>
      <c r="L46" s="32"/>
      <c r="M46" s="32"/>
      <c r="N46" s="32"/>
      <c r="O46" s="30">
        <v>0</v>
      </c>
      <c r="P46" s="31" t="s">
        <v>235</v>
      </c>
      <c r="Q46" s="32"/>
      <c r="R46" s="30">
        <v>0</v>
      </c>
      <c r="S46" s="31" t="s">
        <v>236</v>
      </c>
      <c r="T46" s="32"/>
      <c r="U46" s="31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2"/>
      <c r="DB46" s="32"/>
      <c r="DC46" s="32"/>
      <c r="DD46" s="32"/>
      <c r="DE46" s="32"/>
      <c r="DF46" s="32"/>
      <c r="DG46" s="32"/>
      <c r="DH46" s="32"/>
      <c r="DI46" s="32"/>
      <c r="DJ46" s="35"/>
      <c r="DK46" s="35"/>
      <c r="DL46" s="35"/>
      <c r="DM46" s="35"/>
      <c r="DN46" s="35"/>
      <c r="DO46" s="35"/>
      <c r="DP46" s="35"/>
      <c r="DQ46" s="35"/>
      <c r="DR46" s="35"/>
      <c r="DS46" s="35"/>
      <c r="DT46" s="35"/>
    </row>
    <row r="47" spans="1:124" ht="14.25" thickTop="1" thickBot="1">
      <c r="A47" s="126" t="s">
        <v>237</v>
      </c>
      <c r="B47" s="32"/>
      <c r="C47" s="46" t="s">
        <v>238</v>
      </c>
      <c r="D47" s="32"/>
      <c r="E47" s="32"/>
      <c r="F47" s="32"/>
      <c r="G47" s="46" t="s">
        <v>239</v>
      </c>
      <c r="H47" s="32"/>
      <c r="I47" s="46" t="s">
        <v>240</v>
      </c>
      <c r="J47" s="32"/>
      <c r="K47" s="31" t="s">
        <v>241</v>
      </c>
      <c r="L47" s="32"/>
      <c r="M47" s="32"/>
      <c r="N47" s="32"/>
      <c r="O47" s="26"/>
      <c r="P47" s="32"/>
      <c r="Q47" s="32"/>
      <c r="R47" s="30">
        <v>0</v>
      </c>
      <c r="S47" s="31" t="s">
        <v>242</v>
      </c>
      <c r="T47" s="32"/>
      <c r="U47" s="31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2"/>
      <c r="DB47" s="32"/>
      <c r="DC47" s="32"/>
      <c r="DD47" s="32"/>
      <c r="DE47" s="32"/>
      <c r="DF47" s="32"/>
      <c r="DG47" s="32"/>
      <c r="DH47" s="32"/>
      <c r="DI47" s="32"/>
      <c r="DJ47" s="35"/>
      <c r="DK47" s="35"/>
      <c r="DL47" s="35"/>
      <c r="DM47" s="35"/>
      <c r="DN47" s="35"/>
      <c r="DO47" s="35"/>
      <c r="DP47" s="35"/>
      <c r="DQ47" s="35"/>
      <c r="DR47" s="35"/>
      <c r="DS47" s="35"/>
      <c r="DT47" s="35"/>
    </row>
    <row r="48" spans="1:124" ht="14.25" thickTop="1" thickBot="1">
      <c r="A48" s="124">
        <v>600</v>
      </c>
      <c r="B48" s="31" t="str">
        <f>$L$24</f>
        <v>meters</v>
      </c>
      <c r="C48" s="30">
        <v>2</v>
      </c>
      <c r="D48" s="31"/>
      <c r="E48" s="32"/>
      <c r="F48" s="32"/>
      <c r="G48" s="30">
        <v>100000</v>
      </c>
      <c r="H48" s="31"/>
      <c r="I48" s="30">
        <v>1</v>
      </c>
      <c r="J48" s="31"/>
      <c r="K48" s="31"/>
      <c r="L48" s="32" t="s">
        <v>243</v>
      </c>
      <c r="M48" s="32"/>
      <c r="N48" s="32" t="s">
        <v>244</v>
      </c>
      <c r="O48" s="32"/>
      <c r="P48" s="32"/>
      <c r="Q48" s="32"/>
      <c r="R48" s="26"/>
      <c r="S48" s="65">
        <v>100</v>
      </c>
      <c r="T48" s="31" t="s">
        <v>245</v>
      </c>
      <c r="U48" s="31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2"/>
      <c r="DE48" s="32"/>
      <c r="DF48" s="32"/>
      <c r="DG48" s="32"/>
      <c r="DH48" s="32"/>
      <c r="DI48" s="32"/>
      <c r="DJ48" s="35"/>
      <c r="DK48" s="35"/>
      <c r="DL48" s="35"/>
      <c r="DM48" s="35"/>
      <c r="DN48" s="35"/>
      <c r="DO48" s="35"/>
      <c r="DP48" s="35"/>
      <c r="DQ48" s="35"/>
      <c r="DR48" s="35"/>
      <c r="DS48" s="35"/>
      <c r="DT48" s="35"/>
    </row>
    <row r="49" spans="1:124" ht="14.25" thickTop="1" thickBot="1">
      <c r="A49" s="125"/>
      <c r="B49" s="32"/>
      <c r="C49" s="26"/>
      <c r="D49" s="32"/>
      <c r="E49" s="32"/>
      <c r="F49" s="32"/>
      <c r="G49" s="26"/>
      <c r="H49" s="32"/>
      <c r="I49" s="26"/>
      <c r="J49" s="32"/>
      <c r="K49" s="31"/>
      <c r="L49" s="32" t="s">
        <v>246</v>
      </c>
      <c r="M49" s="32"/>
      <c r="N49" s="32" t="s">
        <v>247</v>
      </c>
      <c r="O49" s="32"/>
      <c r="P49" s="32"/>
      <c r="Q49" s="32"/>
      <c r="R49" s="32"/>
      <c r="S49" s="30">
        <f>6726/$L$9</f>
        <v>2050.0848000000024</v>
      </c>
      <c r="T49" s="31" t="str">
        <f>$L$24</f>
        <v>meters</v>
      </c>
      <c r="U49" s="31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2"/>
      <c r="DE49" s="32"/>
      <c r="DF49" s="32"/>
      <c r="DG49" s="32"/>
      <c r="DH49" s="32"/>
      <c r="DI49" s="32"/>
      <c r="DJ49" s="35"/>
      <c r="DK49" s="35"/>
      <c r="DL49" s="35"/>
      <c r="DM49" s="35"/>
      <c r="DN49" s="35"/>
      <c r="DO49" s="35"/>
      <c r="DP49" s="35"/>
      <c r="DQ49" s="35"/>
      <c r="DR49" s="35"/>
      <c r="DS49" s="35"/>
      <c r="DT49" s="35"/>
    </row>
    <row r="50" spans="1:124" ht="14.25" thickTop="1" thickBot="1">
      <c r="A50" s="126" t="s">
        <v>248</v>
      </c>
      <c r="B50" s="32"/>
      <c r="C50" s="32" t="s">
        <v>249</v>
      </c>
      <c r="D50" s="32"/>
      <c r="E50" s="32"/>
      <c r="F50" s="32"/>
      <c r="G50" s="46" t="s">
        <v>250</v>
      </c>
      <c r="H50" s="32"/>
      <c r="I50" s="46" t="s">
        <v>251</v>
      </c>
      <c r="J50" s="32"/>
      <c r="K50" s="31"/>
      <c r="L50" s="32" t="s">
        <v>252</v>
      </c>
      <c r="M50" s="32"/>
      <c r="N50" s="32" t="s">
        <v>253</v>
      </c>
      <c r="O50" s="32"/>
      <c r="P50" s="32"/>
      <c r="Q50" s="32"/>
      <c r="R50" s="32"/>
      <c r="S50" s="30">
        <v>0.21</v>
      </c>
      <c r="T50" s="31" t="s">
        <v>23</v>
      </c>
      <c r="U50" s="31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2"/>
      <c r="BZ50" s="32"/>
      <c r="CA50" s="32"/>
      <c r="CB50" s="32"/>
      <c r="CC50" s="32"/>
      <c r="CD50" s="32"/>
      <c r="CE50" s="32"/>
      <c r="CF50" s="32"/>
      <c r="CG50" s="32"/>
      <c r="CH50" s="32"/>
      <c r="CI50" s="32"/>
      <c r="CJ50" s="32"/>
      <c r="CK50" s="32"/>
      <c r="CL50" s="32"/>
      <c r="CM50" s="32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  <c r="DB50" s="32"/>
      <c r="DC50" s="32"/>
      <c r="DD50" s="32"/>
      <c r="DE50" s="32"/>
      <c r="DF50" s="32"/>
      <c r="DG50" s="32"/>
      <c r="DH50" s="32"/>
      <c r="DI50" s="32"/>
      <c r="DJ50" s="35"/>
      <c r="DK50" s="35"/>
      <c r="DL50" s="35"/>
      <c r="DM50" s="35"/>
      <c r="DN50" s="35"/>
      <c r="DO50" s="35"/>
      <c r="DP50" s="35"/>
      <c r="DQ50" s="35"/>
      <c r="DR50" s="35"/>
      <c r="DS50" s="35"/>
      <c r="DT50" s="35"/>
    </row>
    <row r="51" spans="1:124" ht="14.25" thickTop="1" thickBot="1">
      <c r="A51" s="124">
        <v>25</v>
      </c>
      <c r="B51" s="31" t="str">
        <f>$L$30</f>
        <v>'C</v>
      </c>
      <c r="C51" s="30">
        <v>0.03</v>
      </c>
      <c r="D51" s="31"/>
      <c r="E51" s="32"/>
      <c r="F51" s="32"/>
      <c r="G51" s="30">
        <v>0.34</v>
      </c>
      <c r="H51" s="31" t="s">
        <v>23</v>
      </c>
      <c r="I51" s="30">
        <v>0</v>
      </c>
      <c r="J51" s="31"/>
      <c r="K51" s="31"/>
      <c r="L51" s="32" t="s">
        <v>252</v>
      </c>
      <c r="M51" s="32"/>
      <c r="N51" s="32" t="s">
        <v>254</v>
      </c>
      <c r="O51" s="32"/>
      <c r="P51" s="32"/>
      <c r="Q51" s="32"/>
      <c r="R51" s="32"/>
      <c r="S51" s="30">
        <v>1.2</v>
      </c>
      <c r="T51" s="31" t="s">
        <v>77</v>
      </c>
      <c r="U51" s="31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2"/>
      <c r="BX51" s="32"/>
      <c r="BY51" s="32"/>
      <c r="BZ51" s="32"/>
      <c r="CA51" s="32"/>
      <c r="CB51" s="32"/>
      <c r="CC51" s="32"/>
      <c r="CD51" s="32"/>
      <c r="CE51" s="32"/>
      <c r="CF51" s="32"/>
      <c r="CG51" s="32"/>
      <c r="CH51" s="32"/>
      <c r="CI51" s="32"/>
      <c r="CJ51" s="32"/>
      <c r="CK51" s="32"/>
      <c r="CL51" s="32"/>
      <c r="CM51" s="32"/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2"/>
      <c r="DB51" s="32"/>
      <c r="DC51" s="32"/>
      <c r="DD51" s="32"/>
      <c r="DE51" s="32"/>
      <c r="DF51" s="32"/>
      <c r="DG51" s="32"/>
      <c r="DH51" s="32"/>
      <c r="DI51" s="32"/>
      <c r="DJ51" s="35"/>
      <c r="DK51" s="35"/>
      <c r="DL51" s="35"/>
      <c r="DM51" s="35"/>
      <c r="DN51" s="35"/>
      <c r="DO51" s="35"/>
      <c r="DP51" s="35"/>
      <c r="DQ51" s="35"/>
      <c r="DR51" s="35"/>
      <c r="DS51" s="35"/>
      <c r="DT51" s="35"/>
    </row>
    <row r="52" spans="1:124" ht="14.25" thickTop="1" thickBot="1">
      <c r="A52" s="125"/>
      <c r="B52" s="32"/>
      <c r="C52" s="26"/>
      <c r="D52" s="32"/>
      <c r="E52" s="32"/>
      <c r="F52" s="32"/>
      <c r="G52" s="26"/>
      <c r="H52" s="32" t="s">
        <v>255</v>
      </c>
      <c r="I52" s="26"/>
      <c r="J52" s="32"/>
      <c r="K52" s="31"/>
      <c r="L52" s="32" t="s">
        <v>256</v>
      </c>
      <c r="M52" s="32"/>
      <c r="N52" s="32" t="s">
        <v>257</v>
      </c>
      <c r="O52" s="32"/>
      <c r="P52" s="32"/>
      <c r="Q52" s="32"/>
      <c r="R52" s="32"/>
      <c r="S52" s="30">
        <v>-60</v>
      </c>
      <c r="T52" s="31" t="s">
        <v>79</v>
      </c>
      <c r="U52" s="31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32"/>
      <c r="BW52" s="32"/>
      <c r="BX52" s="32"/>
      <c r="BY52" s="32"/>
      <c r="BZ52" s="32"/>
      <c r="CA52" s="32"/>
      <c r="CB52" s="32"/>
      <c r="CC52" s="32"/>
      <c r="CD52" s="32"/>
      <c r="CE52" s="32"/>
      <c r="CF52" s="32"/>
      <c r="CG52" s="32"/>
      <c r="CH52" s="32"/>
      <c r="CI52" s="32"/>
      <c r="CJ52" s="32"/>
      <c r="CK52" s="32"/>
      <c r="CL52" s="32"/>
      <c r="CM52" s="32"/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2"/>
      <c r="DB52" s="32"/>
      <c r="DC52" s="32"/>
      <c r="DD52" s="32"/>
      <c r="DE52" s="32"/>
      <c r="DF52" s="32"/>
      <c r="DG52" s="32"/>
      <c r="DH52" s="32"/>
      <c r="DI52" s="32"/>
      <c r="DJ52" s="35"/>
      <c r="DK52" s="35"/>
      <c r="DL52" s="35"/>
      <c r="DM52" s="35"/>
      <c r="DN52" s="35"/>
      <c r="DO52" s="35"/>
      <c r="DP52" s="35"/>
      <c r="DQ52" s="35"/>
      <c r="DR52" s="35"/>
      <c r="DS52" s="35"/>
      <c r="DT52" s="35"/>
    </row>
    <row r="53" spans="1:124" ht="14.25" thickTop="1" thickBot="1">
      <c r="A53" s="122" t="s">
        <v>258</v>
      </c>
      <c r="B53" s="32"/>
      <c r="C53" s="46" t="s">
        <v>7</v>
      </c>
      <c r="D53" s="32"/>
      <c r="E53" s="46" t="s">
        <v>8</v>
      </c>
      <c r="F53" s="32"/>
      <c r="G53" s="46" t="s">
        <v>9</v>
      </c>
      <c r="H53" s="32"/>
      <c r="I53" s="46" t="s">
        <v>259</v>
      </c>
      <c r="J53" s="32"/>
      <c r="K53" s="31"/>
      <c r="L53" s="32" t="s">
        <v>256</v>
      </c>
      <c r="M53" s="32"/>
      <c r="N53" s="32" t="s">
        <v>260</v>
      </c>
      <c r="O53" s="32"/>
      <c r="P53" s="32"/>
      <c r="Q53" s="32"/>
      <c r="R53" s="32"/>
      <c r="S53" s="30">
        <v>0.4</v>
      </c>
      <c r="T53" s="31" t="s">
        <v>77</v>
      </c>
      <c r="U53" s="31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2"/>
      <c r="BW53" s="32"/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/>
      <c r="CI53" s="32"/>
      <c r="CJ53" s="32"/>
      <c r="CK53" s="32"/>
      <c r="CL53" s="32"/>
      <c r="CM53" s="32"/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2"/>
      <c r="DB53" s="32"/>
      <c r="DC53" s="32"/>
      <c r="DD53" s="32"/>
      <c r="DE53" s="32"/>
      <c r="DF53" s="32"/>
      <c r="DG53" s="32"/>
      <c r="DH53" s="32"/>
      <c r="DI53" s="32"/>
      <c r="DJ53" s="35"/>
      <c r="DK53" s="35"/>
      <c r="DL53" s="35"/>
      <c r="DM53" s="35"/>
      <c r="DN53" s="35"/>
      <c r="DO53" s="35"/>
      <c r="DP53" s="35"/>
      <c r="DQ53" s="35"/>
      <c r="DR53" s="35"/>
      <c r="DS53" s="35"/>
      <c r="DT53" s="35"/>
    </row>
    <row r="54" spans="1:124" ht="14.25" thickTop="1" thickBot="1">
      <c r="A54" s="127" t="s">
        <v>261</v>
      </c>
      <c r="B54" s="32" t="s">
        <v>262</v>
      </c>
      <c r="C54" s="30">
        <v>1</v>
      </c>
      <c r="D54" s="31"/>
      <c r="E54" s="30">
        <v>0</v>
      </c>
      <c r="F54" s="31"/>
      <c r="G54" s="30">
        <v>1</v>
      </c>
      <c r="H54" s="31"/>
      <c r="I54" s="30">
        <v>0</v>
      </c>
      <c r="J54" s="31"/>
      <c r="K54" s="31"/>
      <c r="L54" s="32" t="s">
        <v>263</v>
      </c>
      <c r="M54" s="32"/>
      <c r="N54" s="32" t="s">
        <v>264</v>
      </c>
      <c r="O54" s="32"/>
      <c r="P54" s="32"/>
      <c r="Q54" s="32"/>
      <c r="R54" s="32"/>
      <c r="S54" s="30">
        <v>4.6862190138426803E-2</v>
      </c>
      <c r="T54" s="31" t="s">
        <v>77</v>
      </c>
      <c r="U54" s="31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2"/>
      <c r="BW54" s="32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/>
      <c r="CI54" s="32"/>
      <c r="CJ54" s="32"/>
      <c r="CK54" s="32"/>
      <c r="CL54" s="32"/>
      <c r="CM54" s="32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  <c r="DB54" s="32"/>
      <c r="DC54" s="32"/>
      <c r="DD54" s="32"/>
      <c r="DE54" s="32"/>
      <c r="DF54" s="32"/>
      <c r="DG54" s="32"/>
      <c r="DH54" s="32"/>
      <c r="DI54" s="32"/>
      <c r="DJ54" s="35"/>
      <c r="DK54" s="35"/>
      <c r="DL54" s="35"/>
      <c r="DM54" s="35"/>
      <c r="DN54" s="35"/>
      <c r="DO54" s="35"/>
      <c r="DP54" s="35"/>
      <c r="DQ54" s="35"/>
      <c r="DR54" s="35"/>
      <c r="DS54" s="35"/>
      <c r="DT54" s="35"/>
    </row>
    <row r="55" spans="1:124" ht="14.25" thickTop="1" thickBot="1">
      <c r="A55" s="127" t="s">
        <v>265</v>
      </c>
      <c r="B55" s="32" t="s">
        <v>266</v>
      </c>
      <c r="C55" s="30">
        <v>0.4</v>
      </c>
      <c r="D55" s="31"/>
      <c r="E55" s="30">
        <v>0.08</v>
      </c>
      <c r="F55" s="31"/>
      <c r="G55" s="30">
        <v>0.6</v>
      </c>
      <c r="H55" s="31"/>
      <c r="I55" s="30">
        <v>1</v>
      </c>
      <c r="J55" s="31"/>
      <c r="K55" s="31"/>
      <c r="L55" s="32" t="s">
        <v>263</v>
      </c>
      <c r="M55" s="32"/>
      <c r="N55" s="32" t="s">
        <v>267</v>
      </c>
      <c r="O55" s="32"/>
      <c r="P55" s="32"/>
      <c r="Q55" s="32"/>
      <c r="R55" s="32"/>
      <c r="S55" s="30">
        <f>(122-$L$8)/$L$7</f>
        <v>50</v>
      </c>
      <c r="T55" s="31" t="str">
        <f>$L$30</f>
        <v>'C</v>
      </c>
      <c r="U55" s="31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2"/>
      <c r="BX55" s="32"/>
      <c r="BY55" s="32"/>
      <c r="BZ55" s="32"/>
      <c r="CA55" s="32"/>
      <c r="CB55" s="32"/>
      <c r="CC55" s="32"/>
      <c r="CD55" s="32"/>
      <c r="CE55" s="32"/>
      <c r="CF55" s="32"/>
      <c r="CG55" s="32"/>
      <c r="CH55" s="32"/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2"/>
      <c r="DE55" s="32"/>
      <c r="DF55" s="32"/>
      <c r="DG55" s="32"/>
      <c r="DH55" s="32"/>
      <c r="DI55" s="32"/>
      <c r="DJ55" s="35"/>
      <c r="DK55" s="35"/>
      <c r="DL55" s="35"/>
      <c r="DM55" s="35"/>
      <c r="DN55" s="35"/>
      <c r="DO55" s="35"/>
      <c r="DP55" s="35"/>
      <c r="DQ55" s="35"/>
      <c r="DR55" s="35"/>
      <c r="DS55" s="35"/>
      <c r="DT55" s="35"/>
    </row>
    <row r="56" spans="1:124" ht="14.25" thickTop="1" thickBot="1">
      <c r="A56" s="124">
        <v>0.08</v>
      </c>
      <c r="B56" s="31" t="s">
        <v>268</v>
      </c>
      <c r="C56" s="30">
        <v>0.25</v>
      </c>
      <c r="D56" s="31"/>
      <c r="E56" s="30">
        <v>0.1</v>
      </c>
      <c r="F56" s="31"/>
      <c r="G56" s="30">
        <v>0.3</v>
      </c>
      <c r="H56" s="31"/>
      <c r="I56" s="30">
        <v>2</v>
      </c>
      <c r="J56" s="31"/>
      <c r="K56" s="31"/>
      <c r="L56" s="32" t="s">
        <v>269</v>
      </c>
      <c r="M56" s="32"/>
      <c r="N56" s="32" t="s">
        <v>270</v>
      </c>
      <c r="O56" s="32"/>
      <c r="P56" s="32"/>
      <c r="Q56" s="32"/>
      <c r="R56" s="32"/>
      <c r="S56" s="30">
        <f>(60-$L$8)/$L$7</f>
        <v>15.555555555555555</v>
      </c>
      <c r="T56" s="31" t="str">
        <f>$L$30</f>
        <v>'C</v>
      </c>
      <c r="U56" s="31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/>
      <c r="BV56" s="32"/>
      <c r="BW56" s="32"/>
      <c r="BX56" s="32"/>
      <c r="BY56" s="32"/>
      <c r="BZ56" s="32"/>
      <c r="CA56" s="32"/>
      <c r="CB56" s="32"/>
      <c r="CC56" s="32"/>
      <c r="CD56" s="32"/>
      <c r="CE56" s="32"/>
      <c r="CF56" s="32"/>
      <c r="CG56" s="32"/>
      <c r="CH56" s="32"/>
      <c r="CI56" s="32"/>
      <c r="CJ56" s="32"/>
      <c r="CK56" s="32"/>
      <c r="CL56" s="32"/>
      <c r="CM56" s="32"/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2"/>
      <c r="DB56" s="32"/>
      <c r="DC56" s="32"/>
      <c r="DD56" s="32"/>
      <c r="DE56" s="32"/>
      <c r="DF56" s="32"/>
      <c r="DG56" s="32"/>
      <c r="DH56" s="32"/>
      <c r="DI56" s="32"/>
      <c r="DJ56" s="35"/>
      <c r="DK56" s="35"/>
      <c r="DL56" s="35"/>
      <c r="DM56" s="35"/>
      <c r="DN56" s="35"/>
      <c r="DO56" s="35"/>
      <c r="DP56" s="35"/>
      <c r="DQ56" s="35"/>
      <c r="DR56" s="35"/>
      <c r="DS56" s="35"/>
      <c r="DT56" s="35"/>
    </row>
    <row r="57" spans="1:124" ht="14.25" thickTop="1" thickBot="1">
      <c r="A57" s="125"/>
      <c r="B57" s="32"/>
      <c r="C57" s="26"/>
      <c r="D57" s="32"/>
      <c r="E57" s="26"/>
      <c r="F57" s="32"/>
      <c r="G57" s="26"/>
      <c r="H57" s="32"/>
      <c r="I57" s="26"/>
      <c r="J57" s="32"/>
      <c r="K57" s="31"/>
      <c r="L57" s="32" t="s">
        <v>269</v>
      </c>
      <c r="M57" s="32"/>
      <c r="N57" s="32" t="s">
        <v>271</v>
      </c>
      <c r="O57" s="32"/>
      <c r="P57" s="32"/>
      <c r="Q57" s="32"/>
      <c r="R57" s="32"/>
      <c r="S57" s="30">
        <f>(140-$L$8)/$L$7</f>
        <v>60</v>
      </c>
      <c r="T57" s="31" t="str">
        <f>$L$30</f>
        <v>'C</v>
      </c>
      <c r="U57" s="31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/>
      <c r="BV57" s="32"/>
      <c r="BW57" s="32"/>
      <c r="BX57" s="32"/>
      <c r="BY57" s="32"/>
      <c r="BZ57" s="32"/>
      <c r="CA57" s="32"/>
      <c r="CB57" s="32"/>
      <c r="CC57" s="32"/>
      <c r="CD57" s="32"/>
      <c r="CE57" s="32"/>
      <c r="CF57" s="32"/>
      <c r="CG57" s="32"/>
      <c r="CH57" s="32"/>
      <c r="CI57" s="32"/>
      <c r="CJ57" s="32"/>
      <c r="CK57" s="32"/>
      <c r="CL57" s="32"/>
      <c r="CM57" s="32"/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2"/>
      <c r="DB57" s="32"/>
      <c r="DC57" s="32"/>
      <c r="DD57" s="32"/>
      <c r="DE57" s="32"/>
      <c r="DF57" s="32"/>
      <c r="DG57" s="32"/>
      <c r="DH57" s="32"/>
      <c r="DI57" s="32"/>
      <c r="DJ57" s="35"/>
      <c r="DK57" s="35"/>
      <c r="DL57" s="35"/>
      <c r="DM57" s="35"/>
      <c r="DN57" s="35"/>
      <c r="DO57" s="35"/>
      <c r="DP57" s="35"/>
      <c r="DQ57" s="35"/>
      <c r="DR57" s="35"/>
      <c r="DS57" s="35"/>
      <c r="DT57" s="35"/>
    </row>
    <row r="58" spans="1:124" ht="14.25" thickTop="1" thickBot="1">
      <c r="A58" s="122" t="s">
        <v>272</v>
      </c>
      <c r="B58" s="32"/>
      <c r="C58" s="32" t="s">
        <v>273</v>
      </c>
      <c r="D58" s="32"/>
      <c r="E58" s="32" t="s">
        <v>274</v>
      </c>
      <c r="F58" s="32"/>
      <c r="G58" s="32" t="s">
        <v>275</v>
      </c>
      <c r="H58" s="32"/>
      <c r="I58" s="32" t="s">
        <v>276</v>
      </c>
      <c r="J58" s="31"/>
      <c r="K58" s="31"/>
      <c r="L58" s="32" t="s">
        <v>269</v>
      </c>
      <c r="M58" s="32"/>
      <c r="N58" s="32" t="s">
        <v>277</v>
      </c>
      <c r="O58" s="32"/>
      <c r="P58" s="32"/>
      <c r="Q58" s="32"/>
      <c r="R58" s="32"/>
      <c r="S58" s="30">
        <f>8531/$L$9</f>
        <v>2600.2488000000026</v>
      </c>
      <c r="T58" s="31" t="str">
        <f>$L$24</f>
        <v>meters</v>
      </c>
      <c r="U58" s="31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32"/>
      <c r="BW58" s="32"/>
      <c r="BX58" s="32"/>
      <c r="BY58" s="32"/>
      <c r="BZ58" s="32"/>
      <c r="CA58" s="32"/>
      <c r="CB58" s="32"/>
      <c r="CC58" s="32"/>
      <c r="CD58" s="32"/>
      <c r="CE58" s="32"/>
      <c r="CF58" s="32"/>
      <c r="CG58" s="32"/>
      <c r="CH58" s="32"/>
      <c r="CI58" s="32"/>
      <c r="CJ58" s="32"/>
      <c r="CK58" s="32"/>
      <c r="CL58" s="32"/>
      <c r="CM58" s="32"/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2"/>
      <c r="DB58" s="32"/>
      <c r="DC58" s="32"/>
      <c r="DD58" s="32"/>
      <c r="DE58" s="32"/>
      <c r="DF58" s="32"/>
      <c r="DG58" s="32"/>
      <c r="DH58" s="32"/>
      <c r="DI58" s="32"/>
      <c r="DJ58" s="35"/>
      <c r="DK58" s="35"/>
      <c r="DL58" s="35"/>
      <c r="DM58" s="35"/>
      <c r="DN58" s="35"/>
      <c r="DO58" s="35"/>
      <c r="DP58" s="35"/>
      <c r="DQ58" s="35"/>
      <c r="DR58" s="35"/>
      <c r="DS58" s="35"/>
      <c r="DT58" s="35"/>
    </row>
    <row r="59" spans="1:124" ht="14.25" thickTop="1" thickBot="1">
      <c r="A59" s="124">
        <v>0</v>
      </c>
      <c r="B59" s="31" t="s">
        <v>278</v>
      </c>
      <c r="C59" s="30">
        <v>1</v>
      </c>
      <c r="D59" s="31" t="s">
        <v>279</v>
      </c>
      <c r="E59" s="30">
        <v>1</v>
      </c>
      <c r="F59" s="31" t="s">
        <v>280</v>
      </c>
      <c r="G59" s="30">
        <v>1</v>
      </c>
      <c r="H59" s="31" t="s">
        <v>281</v>
      </c>
      <c r="I59" s="30">
        <v>0</v>
      </c>
      <c r="J59" s="31" t="s">
        <v>278</v>
      </c>
      <c r="K59" s="31"/>
      <c r="L59" s="32" t="s">
        <v>269</v>
      </c>
      <c r="M59" s="32"/>
      <c r="N59" s="32" t="s">
        <v>282</v>
      </c>
      <c r="O59" s="32"/>
      <c r="P59" s="32"/>
      <c r="Q59" s="32"/>
      <c r="R59" s="32"/>
      <c r="S59" s="30">
        <f>6726/$L$9</f>
        <v>2050.0848000000024</v>
      </c>
      <c r="T59" s="31" t="str">
        <f>$L$24</f>
        <v>meters</v>
      </c>
      <c r="U59" s="31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2"/>
      <c r="BW59" s="32"/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32"/>
      <c r="CI59" s="32"/>
      <c r="CJ59" s="32"/>
      <c r="CK59" s="32"/>
      <c r="CL59" s="32"/>
      <c r="CM59" s="32"/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2"/>
      <c r="DB59" s="32"/>
      <c r="DC59" s="32"/>
      <c r="DD59" s="32"/>
      <c r="DE59" s="32"/>
      <c r="DF59" s="32"/>
      <c r="DG59" s="32"/>
      <c r="DH59" s="32"/>
      <c r="DI59" s="32"/>
      <c r="DJ59" s="35"/>
      <c r="DK59" s="35"/>
      <c r="DL59" s="35"/>
      <c r="DM59" s="35"/>
      <c r="DN59" s="35"/>
      <c r="DO59" s="35"/>
      <c r="DP59" s="35"/>
      <c r="DQ59" s="35"/>
      <c r="DR59" s="35"/>
      <c r="DS59" s="35"/>
      <c r="DT59" s="35"/>
    </row>
    <row r="60" spans="1:124" ht="14.25" thickTop="1" thickBot="1">
      <c r="A60" s="124">
        <v>1</v>
      </c>
      <c r="B60" s="31" t="s">
        <v>283</v>
      </c>
      <c r="C60" s="30">
        <v>1</v>
      </c>
      <c r="D60" s="31" t="s">
        <v>284</v>
      </c>
      <c r="E60" s="30">
        <v>1</v>
      </c>
      <c r="F60" s="31" t="s">
        <v>285</v>
      </c>
      <c r="G60" s="30">
        <v>0</v>
      </c>
      <c r="H60" s="31" t="s">
        <v>286</v>
      </c>
      <c r="I60" s="30">
        <v>1</v>
      </c>
      <c r="J60" s="31" t="s">
        <v>287</v>
      </c>
      <c r="K60" s="61"/>
      <c r="L60" s="62" t="s">
        <v>288</v>
      </c>
      <c r="M60" s="62"/>
      <c r="N60" s="62"/>
      <c r="O60" s="62"/>
      <c r="P60" s="62"/>
      <c r="Q60" s="62"/>
      <c r="R60" s="62"/>
      <c r="S60" s="62"/>
      <c r="T60" s="62"/>
      <c r="U60" s="31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C60" s="32"/>
      <c r="DD60" s="32"/>
      <c r="DE60" s="32"/>
      <c r="DF60" s="32"/>
      <c r="DG60" s="32"/>
      <c r="DH60" s="32"/>
      <c r="DI60" s="32"/>
      <c r="DJ60" s="35"/>
      <c r="DK60" s="35"/>
      <c r="DL60" s="35"/>
      <c r="DM60" s="35"/>
      <c r="DN60" s="35"/>
      <c r="DO60" s="35"/>
      <c r="DP60" s="35"/>
      <c r="DQ60" s="35"/>
      <c r="DR60" s="35"/>
      <c r="DS60" s="35"/>
      <c r="DT60" s="35"/>
    </row>
    <row r="61" spans="1:124" ht="14.25" thickTop="1" thickBot="1">
      <c r="A61" s="124">
        <v>0</v>
      </c>
      <c r="B61" s="31" t="s">
        <v>289</v>
      </c>
      <c r="C61" s="30">
        <v>1</v>
      </c>
      <c r="D61" s="31" t="s">
        <v>290</v>
      </c>
      <c r="E61" s="30">
        <v>0</v>
      </c>
      <c r="F61" s="31" t="s">
        <v>291</v>
      </c>
      <c r="G61" s="30">
        <v>0</v>
      </c>
      <c r="H61" s="31" t="s">
        <v>292</v>
      </c>
      <c r="I61" s="30">
        <v>1</v>
      </c>
      <c r="J61" s="31" t="s">
        <v>293</v>
      </c>
      <c r="K61" s="63"/>
      <c r="L61" s="64" t="s">
        <v>294</v>
      </c>
      <c r="M61" s="64">
        <f>IF(O45,(400/P64/S48)^0.88,10^6)</f>
        <v>1000000</v>
      </c>
      <c r="N61" s="64" t="s">
        <v>295</v>
      </c>
      <c r="O61" s="64">
        <f>IF(O46,-(0.58-10^(0.69*0.85*$S$53/10^(-$S$52/(60+0.122*$P$64))-0.24)),10^6)</f>
        <v>1000000</v>
      </c>
      <c r="P61" s="64" t="s">
        <v>296</v>
      </c>
      <c r="Q61" s="64">
        <f>IF(R45,(S50^$C$45)*S51/$C$42,10^6)</f>
        <v>6.7539997500522475E-2</v>
      </c>
      <c r="R61" s="64" t="s">
        <v>297</v>
      </c>
      <c r="S61" s="64">
        <f>IF(R46,+S54*(S55+$L$6)/(S64+$L$6),10^6)</f>
        <v>1000000</v>
      </c>
      <c r="T61" s="64" t="s">
        <v>77</v>
      </c>
      <c r="U61" s="31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2"/>
      <c r="DD61" s="32"/>
      <c r="DE61" s="32"/>
      <c r="DF61" s="32"/>
      <c r="DG61" s="32"/>
      <c r="DH61" s="32"/>
      <c r="DI61" s="32"/>
      <c r="DJ61" s="35"/>
      <c r="DK61" s="35"/>
      <c r="DL61" s="35"/>
      <c r="DM61" s="35"/>
      <c r="DN61" s="35"/>
      <c r="DO61" s="35"/>
      <c r="DP61" s="35"/>
      <c r="DQ61" s="35"/>
      <c r="DR61" s="35"/>
      <c r="DS61" s="35"/>
      <c r="DT61" s="35"/>
    </row>
    <row r="62" spans="1:124" ht="14.25" thickTop="1" thickBot="1">
      <c r="A62" s="124">
        <v>1</v>
      </c>
      <c r="B62" s="31" t="s">
        <v>298</v>
      </c>
      <c r="C62" s="30">
        <v>1</v>
      </c>
      <c r="D62" s="31" t="s">
        <v>299</v>
      </c>
      <c r="E62" s="30">
        <v>0</v>
      </c>
      <c r="F62" s="31" t="s">
        <v>300</v>
      </c>
      <c r="G62" s="30">
        <v>0</v>
      </c>
      <c r="H62" s="31" t="s">
        <v>301</v>
      </c>
      <c r="I62" s="30">
        <v>1</v>
      </c>
      <c r="J62" s="31" t="s">
        <v>302</v>
      </c>
      <c r="K62" s="63"/>
      <c r="L62" s="64"/>
      <c r="M62" s="64"/>
      <c r="N62" s="64"/>
      <c r="O62" s="64"/>
      <c r="P62" s="64"/>
      <c r="Q62" s="64"/>
      <c r="R62" s="64"/>
      <c r="S62" s="64"/>
      <c r="T62" s="64"/>
      <c r="U62" s="31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/>
      <c r="BV62" s="32"/>
      <c r="BW62" s="32"/>
      <c r="BX62" s="32"/>
      <c r="BY62" s="32"/>
      <c r="BZ62" s="32"/>
      <c r="CA62" s="32"/>
      <c r="CB62" s="32"/>
      <c r="CC62" s="32"/>
      <c r="CD62" s="32"/>
      <c r="CE62" s="32"/>
      <c r="CF62" s="32"/>
      <c r="CG62" s="32"/>
      <c r="CH62" s="32"/>
      <c r="CI62" s="32"/>
      <c r="CJ62" s="32"/>
      <c r="CK62" s="32"/>
      <c r="CL62" s="32"/>
      <c r="CM62" s="32"/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32"/>
      <c r="DB62" s="32"/>
      <c r="DC62" s="32"/>
      <c r="DD62" s="32"/>
      <c r="DE62" s="32"/>
      <c r="DF62" s="32"/>
      <c r="DG62" s="32"/>
      <c r="DH62" s="32"/>
      <c r="DI62" s="32"/>
      <c r="DJ62" s="35"/>
      <c r="DK62" s="35"/>
      <c r="DL62" s="35"/>
      <c r="DM62" s="35"/>
      <c r="DN62" s="35"/>
      <c r="DO62" s="35"/>
      <c r="DP62" s="35"/>
      <c r="DQ62" s="35"/>
      <c r="DR62" s="35"/>
      <c r="DS62" s="35"/>
      <c r="DT62" s="35"/>
    </row>
    <row r="63" spans="1:124" ht="14.25" thickTop="1" thickBot="1">
      <c r="A63" s="124">
        <v>1</v>
      </c>
      <c r="B63" s="31" t="s">
        <v>303</v>
      </c>
      <c r="C63" s="30">
        <v>1</v>
      </c>
      <c r="D63" s="31" t="s">
        <v>291</v>
      </c>
      <c r="E63" s="26"/>
      <c r="F63" s="32"/>
      <c r="G63" s="26"/>
      <c r="H63" s="32"/>
      <c r="I63" s="30">
        <v>1</v>
      </c>
      <c r="J63" s="31" t="s">
        <v>304</v>
      </c>
      <c r="K63" s="63"/>
      <c r="L63" s="64" t="s">
        <v>305</v>
      </c>
      <c r="M63" s="64"/>
      <c r="N63" s="64" t="s">
        <v>306</v>
      </c>
      <c r="O63" s="64"/>
      <c r="P63" s="64"/>
      <c r="Q63" s="64"/>
      <c r="R63" s="64"/>
      <c r="S63" s="64">
        <f>IF(AND(ABS(R46),R47=0),S61,IF(AND(ABS(R45),R47=0),Q61,IF(AND(ABS(O46),R47=0),O61,IF(AND(ABS(O45),R47=0),M61,IF(R47,MIN(M61*IF(O45,1,99),O61*IF(O46,1,99),Q61*IF(R45,1,99),S61*IF(R46,1,99)),0.25)))))</f>
        <v>6.7539997500522475E-2</v>
      </c>
      <c r="T63" s="64" t="s">
        <v>77</v>
      </c>
      <c r="U63" s="31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/>
      <c r="BV63" s="32"/>
      <c r="BW63" s="32"/>
      <c r="BX63" s="32"/>
      <c r="BY63" s="32"/>
      <c r="BZ63" s="32"/>
      <c r="CA63" s="32"/>
      <c r="CB63" s="32"/>
      <c r="CC63" s="32"/>
      <c r="CD63" s="32"/>
      <c r="CE63" s="32"/>
      <c r="CF63" s="32"/>
      <c r="CG63" s="32"/>
      <c r="CH63" s="32"/>
      <c r="CI63" s="32"/>
      <c r="CJ63" s="32"/>
      <c r="CK63" s="32"/>
      <c r="CL63" s="32"/>
      <c r="CM63" s="32"/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2"/>
      <c r="DB63" s="32"/>
      <c r="DC63" s="32"/>
      <c r="DD63" s="32"/>
      <c r="DE63" s="32"/>
      <c r="DF63" s="32"/>
      <c r="DG63" s="32"/>
      <c r="DH63" s="32"/>
      <c r="DI63" s="32"/>
      <c r="DJ63" s="35"/>
      <c r="DK63" s="35"/>
      <c r="DL63" s="35"/>
      <c r="DM63" s="35"/>
      <c r="DN63" s="35"/>
      <c r="DO63" s="35"/>
      <c r="DP63" s="35"/>
      <c r="DQ63" s="35"/>
      <c r="DR63" s="35"/>
      <c r="DS63" s="35"/>
      <c r="DT63" s="35"/>
    </row>
    <row r="64" spans="1:124" ht="14.25" thickTop="1" thickBot="1">
      <c r="A64" s="124">
        <v>1</v>
      </c>
      <c r="B64" s="31" t="s">
        <v>307</v>
      </c>
      <c r="C64" s="30">
        <v>1</v>
      </c>
      <c r="D64" s="31" t="s">
        <v>308</v>
      </c>
      <c r="E64" s="32"/>
      <c r="F64" s="32"/>
      <c r="G64" s="32" t="s">
        <v>309</v>
      </c>
      <c r="H64" s="30">
        <v>22</v>
      </c>
      <c r="I64" s="30">
        <v>1</v>
      </c>
      <c r="J64" s="31" t="s">
        <v>310</v>
      </c>
      <c r="K64" s="63"/>
      <c r="L64" s="64"/>
      <c r="M64" s="64"/>
      <c r="N64" s="64" t="s">
        <v>311</v>
      </c>
      <c r="O64" s="64"/>
      <c r="P64" s="64">
        <f>IF($A$15="M",9/5*S64+32,S64)</f>
        <v>123.07349665924278</v>
      </c>
      <c r="Q64" s="64" t="s">
        <v>149</v>
      </c>
      <c r="R64" s="64"/>
      <c r="S64" s="64">
        <f>S56+(S57-S56)/S58*S59</f>
        <v>50.596387032912652</v>
      </c>
      <c r="T64" s="64" t="str">
        <f>$L$30</f>
        <v>'C</v>
      </c>
      <c r="U64" s="31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/>
      <c r="CI64" s="32"/>
      <c r="CJ64" s="32"/>
      <c r="CK64" s="32"/>
      <c r="CL64" s="32"/>
      <c r="CM64" s="32"/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2"/>
      <c r="DB64" s="32"/>
      <c r="DC64" s="32"/>
      <c r="DD64" s="32"/>
      <c r="DE64" s="32"/>
      <c r="DF64" s="32"/>
      <c r="DG64" s="32"/>
      <c r="DH64" s="32"/>
      <c r="DI64" s="32"/>
      <c r="DJ64" s="35"/>
      <c r="DK64" s="35"/>
      <c r="DL64" s="35"/>
      <c r="DM64" s="35"/>
      <c r="DN64" s="35"/>
      <c r="DO64" s="35"/>
      <c r="DP64" s="35"/>
      <c r="DQ64" s="35"/>
      <c r="DR64" s="35"/>
      <c r="DS64" s="35"/>
      <c r="DT64" s="35"/>
    </row>
    <row r="65" spans="1:124" ht="14.25" thickTop="1" thickBot="1">
      <c r="A65" s="125"/>
      <c r="B65" s="32"/>
      <c r="C65" s="30">
        <v>0</v>
      </c>
      <c r="D65" s="31" t="s">
        <v>312</v>
      </c>
      <c r="E65" s="32" t="s">
        <v>29</v>
      </c>
      <c r="F65" s="32"/>
      <c r="G65" s="32" t="s">
        <v>313</v>
      </c>
      <c r="H65" s="30">
        <v>-2</v>
      </c>
      <c r="I65" s="30">
        <v>1</v>
      </c>
      <c r="J65" s="31" t="s">
        <v>314</v>
      </c>
      <c r="K65" s="63"/>
      <c r="L65" s="64"/>
      <c r="M65" s="64"/>
      <c r="N65" s="64"/>
      <c r="O65" s="64"/>
      <c r="P65" s="64"/>
      <c r="Q65" s="64"/>
      <c r="R65" s="64"/>
      <c r="S65" s="64"/>
      <c r="T65" s="64"/>
      <c r="U65" s="31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32"/>
      <c r="BW65" s="32"/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/>
      <c r="CI65" s="32"/>
      <c r="CJ65" s="32"/>
      <c r="CK65" s="32"/>
      <c r="CL65" s="32"/>
      <c r="CM65" s="32"/>
      <c r="CN65" s="32"/>
      <c r="CO65" s="32"/>
      <c r="CP65" s="32"/>
      <c r="CQ65" s="32"/>
      <c r="CR65" s="32"/>
      <c r="CS65" s="32"/>
      <c r="CT65" s="32"/>
      <c r="CU65" s="32"/>
      <c r="CV65" s="32"/>
      <c r="CW65" s="32"/>
      <c r="CX65" s="32"/>
      <c r="CY65" s="32"/>
      <c r="CZ65" s="32"/>
      <c r="DA65" s="32"/>
      <c r="DB65" s="32"/>
      <c r="DC65" s="32"/>
      <c r="DD65" s="32"/>
      <c r="DE65" s="32"/>
      <c r="DF65" s="32"/>
      <c r="DG65" s="32"/>
      <c r="DH65" s="32"/>
      <c r="DI65" s="32"/>
      <c r="DJ65" s="35"/>
      <c r="DK65" s="35"/>
      <c r="DL65" s="35"/>
      <c r="DM65" s="35"/>
      <c r="DN65" s="35"/>
      <c r="DO65" s="35"/>
      <c r="DP65" s="35"/>
      <c r="DQ65" s="35"/>
      <c r="DR65" s="35"/>
      <c r="DS65" s="35"/>
      <c r="DT65" s="35"/>
    </row>
    <row r="66" spans="1:124" ht="14.25" thickTop="1" thickBot="1">
      <c r="A66" s="122"/>
      <c r="B66" s="32"/>
      <c r="C66" s="30">
        <v>0</v>
      </c>
      <c r="D66" s="31" t="s">
        <v>250</v>
      </c>
      <c r="E66" s="32"/>
      <c r="F66" s="32"/>
      <c r="G66" s="32"/>
      <c r="H66" s="26"/>
      <c r="I66" s="26"/>
      <c r="J66" s="32"/>
      <c r="K66" s="63"/>
      <c r="L66" s="64" t="s">
        <v>315</v>
      </c>
      <c r="M66" s="64"/>
      <c r="N66" s="64"/>
      <c r="O66" s="64"/>
      <c r="P66" s="64"/>
      <c r="Q66" s="64"/>
      <c r="R66" s="64"/>
      <c r="S66" s="64"/>
      <c r="T66" s="64"/>
      <c r="U66" s="31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/>
      <c r="BV66" s="32"/>
      <c r="BW66" s="32"/>
      <c r="BX66" s="32"/>
      <c r="BY66" s="32"/>
      <c r="BZ66" s="32"/>
      <c r="CA66" s="32"/>
      <c r="CB66" s="32"/>
      <c r="CC66" s="32"/>
      <c r="CD66" s="32"/>
      <c r="CE66" s="32"/>
      <c r="CF66" s="32"/>
      <c r="CG66" s="32"/>
      <c r="CH66" s="32"/>
      <c r="CI66" s="32"/>
      <c r="CJ66" s="32"/>
      <c r="CK66" s="32"/>
      <c r="CL66" s="32"/>
      <c r="CM66" s="32"/>
      <c r="CN66" s="32"/>
      <c r="CO66" s="32"/>
      <c r="CP66" s="32"/>
      <c r="CQ66" s="32"/>
      <c r="CR66" s="32"/>
      <c r="CS66" s="32"/>
      <c r="CT66" s="32"/>
      <c r="CU66" s="32"/>
      <c r="CV66" s="32"/>
      <c r="CW66" s="32"/>
      <c r="CX66" s="32"/>
      <c r="CY66" s="32"/>
      <c r="CZ66" s="32"/>
      <c r="DA66" s="32"/>
      <c r="DB66" s="32"/>
      <c r="DC66" s="32"/>
      <c r="DD66" s="32"/>
      <c r="DE66" s="32"/>
      <c r="DF66" s="32"/>
      <c r="DG66" s="32"/>
      <c r="DH66" s="32"/>
      <c r="DI66" s="32"/>
      <c r="DJ66" s="35"/>
      <c r="DK66" s="35"/>
      <c r="DL66" s="35"/>
      <c r="DM66" s="35"/>
      <c r="DN66" s="35"/>
      <c r="DO66" s="35"/>
      <c r="DP66" s="35"/>
      <c r="DQ66" s="35"/>
      <c r="DR66" s="35"/>
      <c r="DS66" s="35"/>
      <c r="DT66" s="35"/>
    </row>
    <row r="67" spans="1:124" ht="14.25" thickTop="1" thickBot="1">
      <c r="A67" s="122" t="s">
        <v>316</v>
      </c>
      <c r="B67" s="32" t="s">
        <v>317</v>
      </c>
      <c r="C67" s="26" t="s">
        <v>317</v>
      </c>
      <c r="D67" s="32" t="s">
        <v>317</v>
      </c>
      <c r="E67" s="32" t="s">
        <v>317</v>
      </c>
      <c r="F67" s="32" t="s">
        <v>317</v>
      </c>
      <c r="G67" s="32" t="s">
        <v>317</v>
      </c>
      <c r="H67" s="32" t="s">
        <v>317</v>
      </c>
      <c r="I67" s="32" t="s">
        <v>317</v>
      </c>
      <c r="J67" s="32" t="s">
        <v>318</v>
      </c>
      <c r="K67" s="63"/>
      <c r="L67" s="64" t="s">
        <v>319</v>
      </c>
      <c r="M67" s="64"/>
      <c r="N67" s="64"/>
      <c r="O67" s="64"/>
      <c r="P67" s="64"/>
      <c r="Q67" s="64"/>
      <c r="R67" s="64"/>
      <c r="S67" s="64"/>
      <c r="T67" s="64"/>
      <c r="U67" s="31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/>
      <c r="BV67" s="32"/>
      <c r="BW67" s="32"/>
      <c r="BX67" s="32"/>
      <c r="BY67" s="32">
        <v>67</v>
      </c>
      <c r="BZ67" s="32"/>
      <c r="CA67" s="32"/>
      <c r="CB67" s="32"/>
      <c r="CC67" s="32"/>
      <c r="CD67" s="32"/>
      <c r="CE67" s="32"/>
      <c r="CF67" s="32"/>
      <c r="CG67" s="32"/>
      <c r="CH67" s="32"/>
      <c r="CI67" s="32"/>
      <c r="CJ67" s="32"/>
      <c r="CK67" s="32"/>
      <c r="CL67" s="32"/>
      <c r="CM67" s="32"/>
      <c r="CN67" s="32"/>
      <c r="CO67" s="32"/>
      <c r="CP67" s="32"/>
      <c r="CQ67" s="32"/>
      <c r="CR67" s="32"/>
      <c r="CS67" s="32"/>
      <c r="CT67" s="32"/>
      <c r="CU67" s="32"/>
      <c r="CV67" s="32"/>
      <c r="CW67" s="32"/>
      <c r="CX67" s="32"/>
      <c r="CY67" s="32"/>
      <c r="CZ67" s="32"/>
      <c r="DA67" s="32"/>
      <c r="DB67" s="32"/>
      <c r="DC67" s="32"/>
      <c r="DD67" s="32"/>
      <c r="DE67" s="32"/>
      <c r="DF67" s="32"/>
      <c r="DG67" s="32"/>
      <c r="DH67" s="32"/>
      <c r="DI67" s="32"/>
      <c r="DJ67" s="35"/>
      <c r="DK67" s="35"/>
      <c r="DL67" s="35"/>
      <c r="DM67" s="35"/>
      <c r="DN67" s="35"/>
      <c r="DO67" s="35"/>
      <c r="DP67" s="35"/>
      <c r="DQ67" s="35"/>
      <c r="DR67" s="35"/>
      <c r="DS67" s="35"/>
      <c r="DT67" s="35"/>
    </row>
    <row r="68" spans="1:124" ht="13.5" thickTop="1">
      <c r="A68" s="123"/>
      <c r="B68" s="27"/>
      <c r="C68" s="27"/>
      <c r="D68" s="27"/>
      <c r="E68" s="27"/>
      <c r="F68" s="27"/>
      <c r="G68" s="27" t="s">
        <v>320</v>
      </c>
      <c r="H68" s="27"/>
      <c r="I68" s="27"/>
      <c r="J68" s="27"/>
      <c r="K68" s="27" t="s">
        <v>507</v>
      </c>
      <c r="L68" s="27"/>
      <c r="M68" s="29"/>
      <c r="N68" s="27"/>
      <c r="O68" s="27"/>
      <c r="P68" s="27"/>
      <c r="Q68" s="27" t="s">
        <v>321</v>
      </c>
      <c r="R68" s="27"/>
      <c r="S68" s="27"/>
      <c r="T68" s="27"/>
      <c r="U68" s="27"/>
      <c r="V68" s="27"/>
      <c r="W68" s="27"/>
      <c r="X68" s="27"/>
      <c r="Y68" s="27"/>
      <c r="Z68" s="27"/>
      <c r="AA68" s="29"/>
      <c r="AB68" s="27" t="s">
        <v>322</v>
      </c>
      <c r="AC68" s="27"/>
      <c r="AD68" s="27"/>
      <c r="AE68" s="27"/>
      <c r="AF68" s="27"/>
      <c r="AG68" s="27"/>
      <c r="AH68" s="27"/>
      <c r="AI68" s="27"/>
      <c r="AJ68" s="27" t="s">
        <v>323</v>
      </c>
      <c r="AK68" s="27"/>
      <c r="AL68" s="27"/>
      <c r="AM68" s="27"/>
      <c r="AN68" s="27"/>
      <c r="AO68" s="27" t="s">
        <v>301</v>
      </c>
      <c r="AP68" s="27"/>
      <c r="AQ68" s="27"/>
      <c r="AR68" s="27"/>
      <c r="AS68" s="27" t="s">
        <v>324</v>
      </c>
      <c r="AT68" s="27" t="s">
        <v>325</v>
      </c>
      <c r="AU68" s="27" t="s">
        <v>326</v>
      </c>
      <c r="AV68" s="66" t="s">
        <v>327</v>
      </c>
      <c r="AW68" s="66" t="s">
        <v>328</v>
      </c>
      <c r="AX68" s="27" t="s">
        <v>329</v>
      </c>
      <c r="AY68" s="27"/>
      <c r="AZ68" s="27"/>
      <c r="BA68" s="27"/>
      <c r="BB68" s="27"/>
      <c r="BC68" s="27"/>
      <c r="BD68" s="27"/>
      <c r="BE68" s="27"/>
      <c r="BF68" s="27"/>
      <c r="BG68" s="27" t="s">
        <v>330</v>
      </c>
      <c r="BH68" s="27"/>
      <c r="BI68" s="27"/>
      <c r="BJ68" s="27"/>
      <c r="BK68" s="27" t="s">
        <v>331</v>
      </c>
      <c r="BL68" s="27"/>
      <c r="BM68" s="27"/>
      <c r="BN68" s="27"/>
      <c r="BO68" s="27"/>
      <c r="BP68" s="27"/>
      <c r="BQ68" s="27"/>
      <c r="BR68" s="27"/>
      <c r="BS68" s="27"/>
      <c r="BT68" s="27" t="s">
        <v>332</v>
      </c>
      <c r="BU68" s="27"/>
      <c r="BV68" s="27"/>
      <c r="BW68" s="27"/>
      <c r="BX68" s="27"/>
      <c r="BY68" s="27">
        <f t="shared" ref="BY68:BY87" si="7">BY67+1</f>
        <v>68</v>
      </c>
      <c r="BZ68" s="27"/>
      <c r="CA68" s="27" t="s">
        <v>333</v>
      </c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 t="s">
        <v>334</v>
      </c>
      <c r="CS68" s="27"/>
      <c r="CT68" s="27"/>
      <c r="CU68" s="27"/>
      <c r="CV68" s="27"/>
      <c r="CW68" s="27"/>
      <c r="CX68" s="27"/>
      <c r="CY68" s="27"/>
      <c r="CZ68" s="27"/>
      <c r="DA68" s="27"/>
      <c r="DB68" s="27"/>
      <c r="DC68" s="27"/>
      <c r="DD68" s="27"/>
      <c r="DE68" s="27"/>
      <c r="DF68" s="27"/>
      <c r="DG68" s="27" t="s">
        <v>335</v>
      </c>
      <c r="DH68" s="27"/>
      <c r="DI68" s="27"/>
      <c r="DJ68" s="29"/>
      <c r="DK68" s="27"/>
      <c r="DL68" s="27"/>
      <c r="DM68" s="27"/>
      <c r="DN68" s="27"/>
      <c r="DO68" s="27"/>
      <c r="DP68" s="27"/>
      <c r="DQ68" s="27"/>
      <c r="DR68" s="27" t="s">
        <v>335</v>
      </c>
      <c r="DS68" s="67"/>
      <c r="DT68" s="35"/>
    </row>
    <row r="69" spans="1:124">
      <c r="A69" s="128" t="s">
        <v>336</v>
      </c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5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59"/>
      <c r="AB69" s="54" t="s">
        <v>337</v>
      </c>
      <c r="AC69" s="54" t="s">
        <v>338</v>
      </c>
      <c r="AD69" s="54" t="s">
        <v>339</v>
      </c>
      <c r="AE69" s="54" t="s">
        <v>340</v>
      </c>
      <c r="AF69" s="54" t="s">
        <v>341</v>
      </c>
      <c r="AG69" s="54" t="s">
        <v>342</v>
      </c>
      <c r="AH69" s="54" t="s">
        <v>343</v>
      </c>
      <c r="AI69" s="39">
        <f>($A$45-$A$42)/$A$48</f>
        <v>1.6666666666666666E-2</v>
      </c>
      <c r="AJ69" s="39" t="e">
        <f>$F$22-$F$19</f>
        <v>#VALUE!</v>
      </c>
      <c r="AK69" s="39"/>
      <c r="AL69" s="39">
        <f>$G$22-$G$19</f>
        <v>50</v>
      </c>
      <c r="AM69" s="39">
        <f>$AT$69-$AS$69</f>
        <v>0.22800000000000001</v>
      </c>
      <c r="AN69" s="39">
        <f>$B$25*($A$51+$L$6)</f>
        <v>10.695</v>
      </c>
      <c r="AO69" s="39"/>
      <c r="AP69" s="39">
        <f>$D$25-$D$19</f>
        <v>-1650</v>
      </c>
      <c r="AQ69" s="39">
        <f>$AT$69-$AS$69</f>
        <v>0.22800000000000001</v>
      </c>
      <c r="AR69" s="39">
        <f>($E$25-$E$19)*$G$45/$I$48</f>
        <v>434.7112860892384</v>
      </c>
      <c r="AS69" s="39">
        <f>($D$22-$D$19)/($D$25-$D$19)</f>
        <v>0</v>
      </c>
      <c r="AT69" s="39">
        <f>$C$22-$C$19</f>
        <v>0.22800000000000001</v>
      </c>
      <c r="AU69" s="39">
        <v>-0.15</v>
      </c>
      <c r="AV69" s="39">
        <f>1-(1-$AU$69)*(1-$AT$69)/(1-($D$22-$D$19)/($D$25-$D$19))</f>
        <v>0.11220000000000008</v>
      </c>
      <c r="AW69" s="39">
        <f>($AV$69*$AS$69-$AU$69*$C$22)/($AV$69-$AU$69)</f>
        <v>0.11441647597254</v>
      </c>
      <c r="AX69" s="39">
        <f>($D$22-$C$39)/($D$25-$C$39)</f>
        <v>0</v>
      </c>
      <c r="AY69" s="39">
        <f>0.03*($C$39/$L$15&lt;2.71)</f>
        <v>0.03</v>
      </c>
      <c r="AZ69" s="39"/>
      <c r="BA69" s="39"/>
      <c r="BB69" s="39">
        <f>$D$19/$L$15-2.71</f>
        <v>-6.0000000000000053E-2</v>
      </c>
      <c r="BC69" s="39"/>
      <c r="BD69" s="39"/>
      <c r="BE69" s="39"/>
      <c r="BF69" s="39"/>
      <c r="BG69" s="39"/>
      <c r="BH69" s="39"/>
      <c r="BI69" s="39"/>
      <c r="BJ69" s="39"/>
      <c r="BK69" s="39">
        <f>$AW$69^$C$45*$B$22/$C$42</f>
        <v>0.15253121523001081</v>
      </c>
      <c r="BL69" s="39"/>
      <c r="BM69" s="39"/>
      <c r="BN69" s="39"/>
      <c r="BO69" s="39"/>
      <c r="BP69" s="39">
        <f>$J$28-$J$19</f>
        <v>0</v>
      </c>
      <c r="BQ69" s="39">
        <f>$J$22-$J$19</f>
        <v>0</v>
      </c>
      <c r="BR69" s="39">
        <f>$J$25-$J$28</f>
        <v>0</v>
      </c>
      <c r="BS69" s="39">
        <f>$I$25-$I$19</f>
        <v>0</v>
      </c>
      <c r="BT69" s="39"/>
      <c r="BU69" s="39"/>
      <c r="BV69" s="39"/>
      <c r="BW69" s="39"/>
      <c r="BX69" s="39"/>
      <c r="BY69" s="39">
        <f t="shared" si="7"/>
        <v>69</v>
      </c>
      <c r="BZ69" s="39"/>
      <c r="CA69" s="39">
        <f>$D$31-$D$34</f>
        <v>-220</v>
      </c>
      <c r="CB69" s="39">
        <f>$B$31-$B$34</f>
        <v>-1.3321149168364999</v>
      </c>
      <c r="CC69" s="39">
        <f>$D$25/$L$15</f>
        <v>1</v>
      </c>
      <c r="CD69" s="39">
        <f>$H$22/$D$22*$L$15</f>
        <v>3.2398490566037732</v>
      </c>
      <c r="CE69" s="39">
        <f>$F$31-$F$34</f>
        <v>3.2383555511368289E-2</v>
      </c>
      <c r="CF69" s="39"/>
      <c r="CG69" s="39">
        <f>$F$31*($G$37-$G$34)+$F$34*($G$31-$G$37)+$F$37*($G$34-$G$31)</f>
        <v>-3.0677820079541285E-3</v>
      </c>
      <c r="CH69" s="39">
        <f>$G$31-$G$34</f>
        <v>9.0944741532976825E-2</v>
      </c>
      <c r="CI69" s="39">
        <f>$G$37-$G$31</f>
        <v>-3.8234981392876177E-2</v>
      </c>
      <c r="CJ69" s="39"/>
      <c r="CK69" s="39">
        <f>$D$31*($H$37-$H$34)+$D$34*($H$31-$H$37)+$D$37*($H$34-$H$31)</f>
        <v>-1724.6000000000022</v>
      </c>
      <c r="CL69" s="39">
        <f>$H$31-$H$34</f>
        <v>-4.2199999999999989</v>
      </c>
      <c r="CM69" s="39">
        <f>$H$37-$H$31</f>
        <v>8.9900000000000055</v>
      </c>
      <c r="CN69" s="39"/>
      <c r="CO69" s="39"/>
      <c r="CP69" s="39"/>
      <c r="CQ69" s="39"/>
      <c r="CR69" s="39" t="s">
        <v>262</v>
      </c>
      <c r="CS69" s="39"/>
      <c r="CT69" s="39"/>
      <c r="CU69" s="39"/>
      <c r="CV69" s="39"/>
      <c r="CW69" s="39" t="s">
        <v>266</v>
      </c>
      <c r="CX69" s="39"/>
      <c r="CY69" s="39"/>
      <c r="CZ69" s="39"/>
      <c r="DA69" s="39"/>
      <c r="DB69" s="39" t="s">
        <v>268</v>
      </c>
      <c r="DC69" s="39"/>
      <c r="DD69" s="39" t="s">
        <v>344</v>
      </c>
      <c r="DE69" s="39">
        <f ca="1">SUM(DE72:DE84)</f>
        <v>133118.22244222675</v>
      </c>
      <c r="DF69" s="39"/>
      <c r="DG69" s="39" t="s">
        <v>335</v>
      </c>
      <c r="DH69" s="39"/>
      <c r="DI69" s="39"/>
      <c r="DJ69" s="59"/>
      <c r="DK69" s="39"/>
      <c r="DL69" s="39"/>
      <c r="DM69" s="39"/>
      <c r="DN69" s="39"/>
      <c r="DO69" s="39"/>
      <c r="DP69" s="39"/>
      <c r="DQ69" s="39"/>
      <c r="DR69" s="39" t="s">
        <v>335</v>
      </c>
      <c r="DS69" s="67"/>
      <c r="DT69" s="35"/>
    </row>
    <row r="70" spans="1:124">
      <c r="A70" s="128" t="s">
        <v>345</v>
      </c>
      <c r="B70" s="54" t="s">
        <v>346</v>
      </c>
      <c r="C70" s="54" t="s">
        <v>69</v>
      </c>
      <c r="D70" s="54" t="s">
        <v>70</v>
      </c>
      <c r="E70" s="54" t="s">
        <v>347</v>
      </c>
      <c r="F70" s="54" t="s">
        <v>487</v>
      </c>
      <c r="G70" s="54" t="s">
        <v>72</v>
      </c>
      <c r="H70" s="54" t="s">
        <v>73</v>
      </c>
      <c r="I70" s="54" t="s">
        <v>348</v>
      </c>
      <c r="J70" s="54" t="s">
        <v>92</v>
      </c>
      <c r="K70" s="54" t="s">
        <v>107</v>
      </c>
      <c r="L70" s="54" t="s">
        <v>349</v>
      </c>
      <c r="M70" s="38" t="s">
        <v>350</v>
      </c>
      <c r="N70" s="54" t="s">
        <v>351</v>
      </c>
      <c r="O70" s="54" t="s">
        <v>352</v>
      </c>
      <c r="P70" s="39" t="str">
        <f>IF($I$51,"Sw+ROS","         Sw")</f>
        <v xml:space="preserve">         Sw</v>
      </c>
      <c r="Q70" s="54" t="s">
        <v>353</v>
      </c>
      <c r="R70" s="54" t="s">
        <v>354</v>
      </c>
      <c r="S70" s="54" t="s">
        <v>355</v>
      </c>
      <c r="T70" s="54" t="s">
        <v>356</v>
      </c>
      <c r="U70" s="54" t="s">
        <v>357</v>
      </c>
      <c r="V70" s="54" t="s">
        <v>358</v>
      </c>
      <c r="W70" s="39" t="str">
        <f>$A$31</f>
        <v>QRTZ</v>
      </c>
      <c r="X70" s="39" t="str">
        <f>$A$34</f>
        <v>DOLO</v>
      </c>
      <c r="Y70" s="39" t="str">
        <f>$A$37</f>
        <v>LIME</v>
      </c>
      <c r="Z70" s="54" t="s">
        <v>359</v>
      </c>
      <c r="AA70" s="59" t="s">
        <v>360</v>
      </c>
      <c r="AB70" s="39" t="s">
        <v>361</v>
      </c>
      <c r="AC70" s="39" t="s">
        <v>362</v>
      </c>
      <c r="AD70" s="39" t="s">
        <v>363</v>
      </c>
      <c r="AE70" s="39" t="s">
        <v>364</v>
      </c>
      <c r="AF70" s="39" t="s">
        <v>365</v>
      </c>
      <c r="AG70" s="39" t="s">
        <v>366</v>
      </c>
      <c r="AH70" s="39" t="s">
        <v>367</v>
      </c>
      <c r="AI70" s="54" t="s">
        <v>368</v>
      </c>
      <c r="AJ70" s="54" t="s">
        <v>369</v>
      </c>
      <c r="AK70" s="54" t="s">
        <v>370</v>
      </c>
      <c r="AL70" s="54" t="s">
        <v>371</v>
      </c>
      <c r="AM70" s="54" t="s">
        <v>372</v>
      </c>
      <c r="AN70" s="54" t="s">
        <v>373</v>
      </c>
      <c r="AO70" s="39" t="s">
        <v>374</v>
      </c>
      <c r="AP70" s="39" t="s">
        <v>375</v>
      </c>
      <c r="AQ70" s="39" t="s">
        <v>376</v>
      </c>
      <c r="AR70" s="54" t="s">
        <v>377</v>
      </c>
      <c r="AS70" s="54" t="s">
        <v>378</v>
      </c>
      <c r="AT70" s="54" t="s">
        <v>379</v>
      </c>
      <c r="AU70" s="39" t="s">
        <v>380</v>
      </c>
      <c r="AV70" s="54" t="s">
        <v>381</v>
      </c>
      <c r="AW70" s="54" t="s">
        <v>382</v>
      </c>
      <c r="AX70" s="54" t="s">
        <v>378</v>
      </c>
      <c r="AY70" s="54" t="s">
        <v>379</v>
      </c>
      <c r="AZ70" s="39" t="s">
        <v>383</v>
      </c>
      <c r="BA70" s="54" t="s">
        <v>384</v>
      </c>
      <c r="BB70" s="39" t="s">
        <v>383</v>
      </c>
      <c r="BC70" s="39" t="s">
        <v>385</v>
      </c>
      <c r="BD70" s="39" t="s">
        <v>386</v>
      </c>
      <c r="BE70" s="54" t="s">
        <v>387</v>
      </c>
      <c r="BF70" s="39" t="s">
        <v>388</v>
      </c>
      <c r="BG70" s="54" t="s">
        <v>389</v>
      </c>
      <c r="BH70" s="54" t="s">
        <v>390</v>
      </c>
      <c r="BI70" s="54" t="s">
        <v>390</v>
      </c>
      <c r="BJ70" s="54" t="s">
        <v>390</v>
      </c>
      <c r="BK70" s="54" t="s">
        <v>391</v>
      </c>
      <c r="BL70" s="54" t="s">
        <v>391</v>
      </c>
      <c r="BM70" s="54" t="s">
        <v>392</v>
      </c>
      <c r="BN70" s="54" t="s">
        <v>393</v>
      </c>
      <c r="BO70" s="39" t="s">
        <v>394</v>
      </c>
      <c r="BP70" s="54" t="s">
        <v>395</v>
      </c>
      <c r="BQ70" s="39" t="s">
        <v>396</v>
      </c>
      <c r="BR70" s="39" t="s">
        <v>396</v>
      </c>
      <c r="BS70" s="39" t="s">
        <v>396</v>
      </c>
      <c r="BT70" s="54" t="s">
        <v>397</v>
      </c>
      <c r="BU70" s="54" t="s">
        <v>398</v>
      </c>
      <c r="BV70" s="39" t="s">
        <v>399</v>
      </c>
      <c r="BW70" s="39" t="s">
        <v>400</v>
      </c>
      <c r="BX70" s="39" t="s">
        <v>396</v>
      </c>
      <c r="BY70" s="39">
        <f t="shared" si="7"/>
        <v>70</v>
      </c>
      <c r="BZ70" s="39" t="s">
        <v>396</v>
      </c>
      <c r="CA70" s="54" t="s">
        <v>401</v>
      </c>
      <c r="CB70" s="54" t="s">
        <v>402</v>
      </c>
      <c r="CC70" s="54" t="s">
        <v>403</v>
      </c>
      <c r="CD70" s="54" t="s">
        <v>404</v>
      </c>
      <c r="CE70" s="54" t="s">
        <v>405</v>
      </c>
      <c r="CF70" s="54" t="s">
        <v>406</v>
      </c>
      <c r="CG70" s="54" t="s">
        <v>407</v>
      </c>
      <c r="CH70" s="54" t="s">
        <v>407</v>
      </c>
      <c r="CI70" s="54" t="s">
        <v>407</v>
      </c>
      <c r="CJ70" s="54" t="s">
        <v>407</v>
      </c>
      <c r="CK70" s="54" t="s">
        <v>408</v>
      </c>
      <c r="CL70" s="54" t="s">
        <v>408</v>
      </c>
      <c r="CM70" s="54" t="s">
        <v>408</v>
      </c>
      <c r="CN70" s="54" t="s">
        <v>408</v>
      </c>
      <c r="CO70" s="39" t="s">
        <v>409</v>
      </c>
      <c r="CP70" s="39"/>
      <c r="CQ70" s="39"/>
      <c r="CR70" s="54" t="s">
        <v>410</v>
      </c>
      <c r="CS70" s="54" t="s">
        <v>411</v>
      </c>
      <c r="CT70" s="54" t="s">
        <v>412</v>
      </c>
      <c r="CU70" s="54" t="s">
        <v>413</v>
      </c>
      <c r="CV70" s="39" t="s">
        <v>414</v>
      </c>
      <c r="CW70" s="54" t="s">
        <v>410</v>
      </c>
      <c r="CX70" s="54" t="s">
        <v>411</v>
      </c>
      <c r="CY70" s="54" t="s">
        <v>412</v>
      </c>
      <c r="CZ70" s="54" t="s">
        <v>413</v>
      </c>
      <c r="DA70" s="39" t="s">
        <v>414</v>
      </c>
      <c r="DB70" s="54" t="s">
        <v>410</v>
      </c>
      <c r="DC70" s="54" t="s">
        <v>411</v>
      </c>
      <c r="DD70" s="54" t="s">
        <v>412</v>
      </c>
      <c r="DE70" s="54" t="s">
        <v>413</v>
      </c>
      <c r="DF70" s="39" t="s">
        <v>414</v>
      </c>
      <c r="DG70" s="39" t="s">
        <v>335</v>
      </c>
      <c r="DH70" s="39"/>
      <c r="DI70" s="39"/>
      <c r="DJ70" s="59" t="s">
        <v>415</v>
      </c>
      <c r="DK70" s="39"/>
      <c r="DL70" s="39" t="s">
        <v>416</v>
      </c>
      <c r="DM70" s="39"/>
      <c r="DN70" s="39" t="s">
        <v>417</v>
      </c>
      <c r="DO70" s="39"/>
      <c r="DP70" s="39" t="s">
        <v>418</v>
      </c>
      <c r="DQ70" s="39"/>
      <c r="DR70" s="39" t="s">
        <v>335</v>
      </c>
      <c r="DS70" s="67"/>
      <c r="DT70" s="35"/>
    </row>
    <row r="71" spans="1:124" ht="13.5" thickBot="1">
      <c r="A71" s="128" t="str">
        <f>"   "&amp;$L$24</f>
        <v xml:space="preserve">   meters</v>
      </c>
      <c r="B71" s="39" t="str">
        <f>"   "&amp;$L$24</f>
        <v xml:space="preserve">   meters</v>
      </c>
      <c r="C71" s="54" t="s">
        <v>419</v>
      </c>
      <c r="D71" s="54" t="s">
        <v>420</v>
      </c>
      <c r="E71" s="54" t="s">
        <v>420</v>
      </c>
      <c r="F71" s="39" t="str">
        <f>"     "&amp;$L$25</f>
        <v xml:space="preserve">     us/m</v>
      </c>
      <c r="G71" s="54" t="s">
        <v>421</v>
      </c>
      <c r="H71" s="54" t="s">
        <v>422</v>
      </c>
      <c r="I71" s="54" t="s">
        <v>423</v>
      </c>
      <c r="J71" s="54" t="s">
        <v>78</v>
      </c>
      <c r="K71" s="54" t="s">
        <v>421</v>
      </c>
      <c r="L71" s="39" t="str">
        <f>"     "&amp;$L$24</f>
        <v xml:space="preserve">     meters</v>
      </c>
      <c r="M71" s="59" t="str">
        <f>"    "&amp;$L$24</f>
        <v xml:space="preserve">    meters</v>
      </c>
      <c r="N71" s="54" t="s">
        <v>424</v>
      </c>
      <c r="O71" s="54" t="s">
        <v>424</v>
      </c>
      <c r="P71" s="54" t="s">
        <v>424</v>
      </c>
      <c r="Q71" s="54" t="s">
        <v>425</v>
      </c>
      <c r="R71" s="54" t="s">
        <v>426</v>
      </c>
      <c r="S71" s="54" t="s">
        <v>424</v>
      </c>
      <c r="T71" s="54" t="s">
        <v>427</v>
      </c>
      <c r="U71" s="54" t="s">
        <v>428</v>
      </c>
      <c r="V71" s="39" t="str">
        <f>"   "&amp;$L$28</f>
        <v xml:space="preserve">   Kg/m3</v>
      </c>
      <c r="W71" s="54" t="s">
        <v>424</v>
      </c>
      <c r="X71" s="54" t="s">
        <v>424</v>
      </c>
      <c r="Y71" s="54" t="s">
        <v>424</v>
      </c>
      <c r="Z71" s="39" t="str">
        <f>"       "&amp;$L$24</f>
        <v xml:space="preserve">       meters</v>
      </c>
      <c r="AA71" s="38" t="s">
        <v>426</v>
      </c>
      <c r="AB71" s="54" t="s">
        <v>424</v>
      </c>
      <c r="AC71" s="54" t="s">
        <v>424</v>
      </c>
      <c r="AD71" s="54" t="s">
        <v>424</v>
      </c>
      <c r="AE71" s="54" t="s">
        <v>424</v>
      </c>
      <c r="AF71" s="54" t="s">
        <v>424</v>
      </c>
      <c r="AG71" s="54" t="s">
        <v>424</v>
      </c>
      <c r="AH71" s="54" t="s">
        <v>424</v>
      </c>
      <c r="AI71" s="39" t="str">
        <f>"            "&amp;$L$30</f>
        <v xml:space="preserve">            'C</v>
      </c>
      <c r="AJ71" s="39"/>
      <c r="AK71" s="39"/>
      <c r="AL71" s="39"/>
      <c r="AM71" s="39"/>
      <c r="AN71" s="39"/>
      <c r="AO71" s="39"/>
      <c r="AP71" s="39" t="s">
        <v>429</v>
      </c>
      <c r="AQ71" s="39"/>
      <c r="AR71" s="39"/>
      <c r="AS71" s="39"/>
      <c r="AT71" s="39"/>
      <c r="AU71" s="39"/>
      <c r="AV71" s="39">
        <f>$AV$69-$AU$69</f>
        <v>0.2622000000000001</v>
      </c>
      <c r="AW71" s="39"/>
      <c r="AX71" s="39" t="s">
        <v>430</v>
      </c>
      <c r="AY71" s="39"/>
      <c r="AZ71" s="54" t="s">
        <v>431</v>
      </c>
      <c r="BA71" s="54" t="s">
        <v>432</v>
      </c>
      <c r="BB71" s="54" t="s">
        <v>433</v>
      </c>
      <c r="BC71" s="39" t="s">
        <v>434</v>
      </c>
      <c r="BD71" s="39"/>
      <c r="BE71" s="39"/>
      <c r="BF71" s="39" t="s">
        <v>435</v>
      </c>
      <c r="BG71" s="39"/>
      <c r="BH71" s="39" t="s">
        <v>436</v>
      </c>
      <c r="BI71" s="39" t="s">
        <v>437</v>
      </c>
      <c r="BJ71" s="39"/>
      <c r="BK71" s="39" t="s">
        <v>436</v>
      </c>
      <c r="BL71" s="54" t="s">
        <v>438</v>
      </c>
      <c r="BM71" s="39"/>
      <c r="BN71" s="39"/>
      <c r="BO71" s="39"/>
      <c r="BP71" s="39"/>
      <c r="BQ71" s="39"/>
      <c r="BR71" s="39"/>
      <c r="BS71" s="39"/>
      <c r="BT71" s="39"/>
      <c r="BU71" s="39"/>
      <c r="BV71" s="39"/>
      <c r="BW71" s="39" t="s">
        <v>439</v>
      </c>
      <c r="BX71" s="39"/>
      <c r="BY71" s="39">
        <f t="shared" si="7"/>
        <v>71</v>
      </c>
      <c r="BZ71" s="39"/>
      <c r="CA71" s="54" t="s">
        <v>440</v>
      </c>
      <c r="CB71" s="54" t="s">
        <v>440</v>
      </c>
      <c r="CC71" s="39"/>
      <c r="CD71" s="39"/>
      <c r="CE71" s="54" t="s">
        <v>440</v>
      </c>
      <c r="CF71" s="54" t="s">
        <v>440</v>
      </c>
      <c r="CG71" s="54" t="s">
        <v>441</v>
      </c>
      <c r="CH71" s="54" t="s">
        <v>442</v>
      </c>
      <c r="CI71" s="54" t="s">
        <v>440</v>
      </c>
      <c r="CJ71" s="54" t="s">
        <v>443</v>
      </c>
      <c r="CK71" s="54" t="s">
        <v>441</v>
      </c>
      <c r="CL71" s="54" t="s">
        <v>442</v>
      </c>
      <c r="CM71" s="54" t="s">
        <v>440</v>
      </c>
      <c r="CN71" s="54" t="s">
        <v>443</v>
      </c>
      <c r="CO71" s="39" t="s">
        <v>444</v>
      </c>
      <c r="CP71" s="39" t="s">
        <v>445</v>
      </c>
      <c r="CQ71" s="39" t="s">
        <v>446</v>
      </c>
      <c r="CR71" s="39"/>
      <c r="CS71" s="39"/>
      <c r="CT71" s="39"/>
      <c r="CU71" s="39" t="s">
        <v>447</v>
      </c>
      <c r="CV71" s="39"/>
      <c r="CW71" s="39"/>
      <c r="CX71" s="39"/>
      <c r="CY71" s="39"/>
      <c r="CZ71" s="39" t="s">
        <v>447</v>
      </c>
      <c r="DA71" s="39"/>
      <c r="DB71" s="39"/>
      <c r="DC71" s="39"/>
      <c r="DD71" s="39"/>
      <c r="DE71" s="39" t="s">
        <v>447</v>
      </c>
      <c r="DF71" s="39"/>
      <c r="DG71" s="39" t="s">
        <v>335</v>
      </c>
      <c r="DH71" s="39"/>
      <c r="DI71" s="39"/>
      <c r="DJ71" s="59"/>
      <c r="DK71" s="39"/>
      <c r="DL71" s="39"/>
      <c r="DM71" s="39"/>
      <c r="DN71" s="39"/>
      <c r="DO71" s="39"/>
      <c r="DP71" s="39"/>
      <c r="DQ71" s="39"/>
      <c r="DR71" s="39" t="s">
        <v>335</v>
      </c>
      <c r="DS71" s="67"/>
      <c r="DT71" s="35"/>
    </row>
    <row r="72" spans="1:124" ht="14.25" thickTop="1" thickBot="1">
      <c r="A72" s="129"/>
      <c r="B72" s="68"/>
      <c r="C72" s="68"/>
      <c r="D72" s="68"/>
      <c r="E72" s="68"/>
      <c r="F72" s="68"/>
      <c r="G72" s="68"/>
      <c r="H72" s="68"/>
      <c r="I72" s="68"/>
      <c r="J72" s="69"/>
      <c r="K72" s="69"/>
      <c r="L72" s="69"/>
      <c r="M72" s="25"/>
      <c r="N72" s="26"/>
      <c r="O72" s="26"/>
      <c r="P72" s="26"/>
      <c r="Q72" s="26"/>
      <c r="R72" s="26"/>
      <c r="S72" s="26"/>
      <c r="T72" s="26"/>
      <c r="U72" s="70">
        <f ca="1">T87</f>
        <v>133118.22244222675</v>
      </c>
      <c r="V72" s="26"/>
      <c r="W72" s="26"/>
      <c r="X72" s="26"/>
      <c r="Y72" s="26"/>
      <c r="Z72" s="26"/>
      <c r="AA72" s="25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 t="s">
        <v>448</v>
      </c>
      <c r="AT72" s="26"/>
      <c r="AU72" s="26"/>
      <c r="AV72" s="26" t="s">
        <v>449</v>
      </c>
      <c r="AW72" s="26"/>
      <c r="AX72" s="26" t="s">
        <v>450</v>
      </c>
      <c r="AY72" s="26"/>
      <c r="AZ72" s="26"/>
      <c r="BA72" s="26"/>
      <c r="BB72" s="26"/>
      <c r="BC72" s="26" t="s">
        <v>451</v>
      </c>
      <c r="BD72" s="26"/>
      <c r="BE72" s="26"/>
      <c r="BF72" s="26"/>
      <c r="BG72" s="26" t="s">
        <v>452</v>
      </c>
      <c r="BH72" s="26" t="s">
        <v>453</v>
      </c>
      <c r="BI72" s="26"/>
      <c r="BJ72" s="26"/>
      <c r="BK72" s="26" t="s">
        <v>454</v>
      </c>
      <c r="BL72" s="26"/>
      <c r="BM72" s="26"/>
      <c r="BN72" s="26"/>
      <c r="BO72" s="26" t="s">
        <v>455</v>
      </c>
      <c r="BP72" s="26"/>
      <c r="BQ72" s="26"/>
      <c r="BR72" s="26"/>
      <c r="BS72" s="26"/>
      <c r="BT72" s="26"/>
      <c r="BU72" s="26"/>
      <c r="BV72" s="26"/>
      <c r="BW72" s="26"/>
      <c r="BX72" s="26"/>
      <c r="BY72" s="26">
        <f t="shared" si="7"/>
        <v>72</v>
      </c>
      <c r="BZ72" s="26"/>
      <c r="CA72" s="26"/>
      <c r="CB72" s="26"/>
      <c r="CC72" s="26"/>
      <c r="CD72" s="26"/>
      <c r="CE72" s="26"/>
      <c r="CF72" s="26"/>
      <c r="CG72" s="26"/>
      <c r="CH72" s="26"/>
      <c r="CI72" s="26"/>
      <c r="CJ72" s="26"/>
      <c r="CK72" s="26"/>
      <c r="CL72" s="26"/>
      <c r="CM72" s="26"/>
      <c r="CN72" s="26"/>
      <c r="CO72" s="26"/>
      <c r="CP72" s="26"/>
      <c r="CQ72" s="26"/>
      <c r="CR72" s="26"/>
      <c r="CS72" s="26"/>
      <c r="CT72" s="26"/>
      <c r="CU72" s="26"/>
      <c r="CV72" s="26"/>
      <c r="CW72" s="26"/>
      <c r="CX72" s="26"/>
      <c r="CY72" s="26"/>
      <c r="CZ72" s="26"/>
      <c r="DA72" s="26"/>
      <c r="DB72" s="26"/>
      <c r="DC72" s="26"/>
      <c r="DD72" s="26"/>
      <c r="DE72" s="26"/>
      <c r="DF72" s="26"/>
      <c r="DG72" s="26" t="s">
        <v>335</v>
      </c>
      <c r="DH72" s="26"/>
      <c r="DI72" s="26"/>
      <c r="DJ72" s="26" t="s">
        <v>456</v>
      </c>
      <c r="DK72" s="26" t="s">
        <v>457</v>
      </c>
      <c r="DL72" s="26" t="s">
        <v>458</v>
      </c>
      <c r="DM72" s="26" t="s">
        <v>457</v>
      </c>
      <c r="DN72" s="26" t="s">
        <v>459</v>
      </c>
      <c r="DO72" s="26" t="s">
        <v>460</v>
      </c>
      <c r="DP72" s="26" t="s">
        <v>461</v>
      </c>
      <c r="DQ72" s="26" t="s">
        <v>462</v>
      </c>
      <c r="DR72" s="26" t="s">
        <v>463</v>
      </c>
      <c r="DS72" s="67"/>
      <c r="DT72" s="35"/>
    </row>
    <row r="73" spans="1:124" ht="13.5" thickTop="1">
      <c r="A73" s="130">
        <v>540</v>
      </c>
      <c r="B73" s="71">
        <v>545</v>
      </c>
      <c r="C73" s="71">
        <v>8</v>
      </c>
      <c r="D73" s="72">
        <v>0.3</v>
      </c>
      <c r="E73" s="72">
        <v>0</v>
      </c>
      <c r="F73" s="71">
        <v>180</v>
      </c>
      <c r="G73" s="71">
        <v>100</v>
      </c>
      <c r="H73" s="71">
        <v>0</v>
      </c>
      <c r="I73" s="36">
        <v>3.2</v>
      </c>
      <c r="J73" s="71">
        <v>32</v>
      </c>
      <c r="K73" s="71">
        <v>100</v>
      </c>
      <c r="L73" s="71">
        <v>1010</v>
      </c>
      <c r="M73" s="33">
        <f t="shared" ref="M73:M80" si="8">B73-A73</f>
        <v>5</v>
      </c>
      <c r="N73" s="34">
        <f t="shared" ref="N73:N80" si="9">IF($A$59,0,AN73)</f>
        <v>1</v>
      </c>
      <c r="O73" s="73">
        <f t="shared" ref="O73:O80" ca="1" si="10">MAX(0,MIN(BF73,$G$51*(1-N73)))</f>
        <v>0</v>
      </c>
      <c r="P73" s="34">
        <f t="shared" ref="P73:P80" ca="1" si="11">IF(N73&gt;0.85,1,MAX(0.02,MIN(1,$G$43+INDIRECT(IF($E$62,"BO",IF($E$61,"BN",IF($E$60,"BJ",IF($E$59,"BG","BO"))))&amp;FIXED(BY73,0,TRUE)))))</f>
        <v>1</v>
      </c>
      <c r="Q73" s="74">
        <f t="shared" ref="Q73:Q80" ca="1" si="12">MAX(0.01,INDIRECT(IF($G$62,"BW",IF($G$61,"BV",IF($G$60,"BU","BT")))&amp;FIXED(BY73,0,TRUE)))</f>
        <v>0.01</v>
      </c>
      <c r="R73" s="34">
        <f t="shared" ref="R73:R80" ca="1" si="13">((O73+0.0001)^$C$45)/($C$42*(1-N73+0.0001))/(1/C73-N73/$B$22)</f>
        <v>1.62057189129651E-3</v>
      </c>
      <c r="S73" s="34">
        <f t="shared" ref="S73:S80" ca="1" si="14">O73*(P73-$G$43)</f>
        <v>0</v>
      </c>
      <c r="T73" s="93" t="str">
        <f ca="1">IF(CQ73=0,IF(N73&gt;$O$8,"SHALY",IF((O73&lt;$P$8)+(Q73&lt;$R$8),"TIGHT","  WET")),IF(S73&lt;1.2*$C$51/(1-N73+0.01),IF($I$51,"  GAS","  OIL"),"  H2O"))</f>
        <v>SHALY</v>
      </c>
      <c r="U73" s="74">
        <f t="shared" ref="U73:U80" ca="1" si="15">(U72-DE72)</f>
        <v>133118.22244222675</v>
      </c>
      <c r="V73" s="74">
        <f t="shared" ref="V73:V80" si="16">IF(N73&gt;0.85,AO73,(AO73-O73*$D$25-N73*$D$22)/(1-O73-N73))</f>
        <v>2650</v>
      </c>
      <c r="W73" s="34">
        <f t="shared" ref="W73:W80" ca="1" si="17">MAX(0,MIN(1,INDIRECT(IF($I$65,"CM",IF($I$64,"CI",IF($I$63,"CF",IF($I$62,"CE",IF($I$61,"CB","CA")))))&amp;FIXED(BY73,0,TRUE))))</f>
        <v>0.89520412260992421</v>
      </c>
      <c r="X73" s="34">
        <f t="shared" ref="X73:X80" si="18">IF($I$65,CN73,IF($I$64,CJ73,1-W73))</f>
        <v>0.10479587739007572</v>
      </c>
      <c r="Y73" s="34">
        <f t="shared" ref="Y73:Y80" ca="1" si="19">1-W73-X73</f>
        <v>0</v>
      </c>
      <c r="Z73" s="74">
        <f t="shared" ref="Z73:Z80" si="20">L73-A73</f>
        <v>470</v>
      </c>
      <c r="AA73" s="31">
        <f t="shared" ref="AA73:AA80" si="21">$AN$69/(AI73+$L$6)</f>
        <v>0.23505494505494506</v>
      </c>
      <c r="AB73" s="32">
        <f t="shared" ref="AB73:AB80" ca="1" si="22">$D$28*O73*(1-P73)</f>
        <v>0</v>
      </c>
      <c r="AC73" s="32">
        <f t="shared" ref="AC73:AC80" ca="1" si="23">$D$25*O73*P73</f>
        <v>0</v>
      </c>
      <c r="AD73" s="75">
        <f t="shared" ref="AD73:AD80" si="24">$D$22*N73</f>
        <v>2650</v>
      </c>
      <c r="AE73" s="75">
        <f t="shared" ref="AE73:AE80" ca="1" si="25">$D$19*(1-N73-O73)</f>
        <v>0</v>
      </c>
      <c r="AF73" s="75">
        <f t="shared" ref="AF73:AF80" ca="1" si="26">SUM(AB73:AE73)</f>
        <v>2650</v>
      </c>
      <c r="AG73" s="32">
        <f t="shared" ref="AG73:AG80" ca="1" si="27">AB73/AF73</f>
        <v>0</v>
      </c>
      <c r="AH73" s="32" t="str">
        <f t="shared" ref="AH73:AH80" ca="1" si="28">IF(AG73&gt;=$A$56," TAR PAY","    NO")</f>
        <v xml:space="preserve">    NO</v>
      </c>
      <c r="AI73" s="32">
        <f t="shared" ref="AI73:AI80" si="29">$A$42+$AI$69*A73</f>
        <v>24</v>
      </c>
      <c r="AJ73" s="32">
        <f t="shared" ref="AJ73:AJ80" si="30">IF($A$60,(G73-J73)/(K73-J73),1)</f>
        <v>1</v>
      </c>
      <c r="AK73" s="32">
        <f t="shared" ref="AK73:AK80" si="31">IF($A$61,1.7-(3.38-(MIN(1,MAX(0,AJ73))+0.7)^2)^0.5,1)</f>
        <v>1</v>
      </c>
      <c r="AL73" s="32">
        <f t="shared" ref="AL73:AL80" si="32">IF($A$62,(H73-$G$19)/$AL$69,1)</f>
        <v>1</v>
      </c>
      <c r="AM73" s="32">
        <f t="shared" ref="AM73:AM80" si="33">IF(OR(OR(ISNA(D73),ISNA(E73)),$A$63=0),1,(AQ73-AP73)/$AM$69)</f>
        <v>1.4385964912280702</v>
      </c>
      <c r="AN73" s="32">
        <f t="shared" ref="AN73:AN80" si="34">MAX(0,MIN(1,AJ73:AM73))</f>
        <v>1</v>
      </c>
      <c r="AO73" s="32">
        <f t="shared" ref="AO73:AO80" si="35">E73*$L$15+(1-E73)*$C$39</f>
        <v>2650</v>
      </c>
      <c r="AP73" s="32">
        <f t="shared" ref="AP73:AP80" si="36">(AO73-$D$19)/$AP$69</f>
        <v>0</v>
      </c>
      <c r="AQ73" s="32">
        <f t="shared" ref="AQ73:AQ80" si="37">D73-$C$19</f>
        <v>0.32800000000000001</v>
      </c>
      <c r="AR73" s="32">
        <f t="shared" ref="AR73:AR80" si="38">(F73-(1-N73)*$E$19-N73*$E$22)/$AR$69</f>
        <v>-0.11423396226415052</v>
      </c>
      <c r="AS73" s="32">
        <f t="shared" ref="AS73:AS80" si="39">(AP73-N73*$AS$69)*$I$45</f>
        <v>0</v>
      </c>
      <c r="AT73" s="32">
        <f t="shared" ref="AT73:AT80" si="40">(+AQ73-N73*$AT$69)*$I$42</f>
        <v>0.1</v>
      </c>
      <c r="AU73" s="32">
        <f t="shared" ref="AU73:AU80" si="41">IF(AQ73&gt;=AP73,(AP73*$AT$69-AQ73*$AS$69)/$AQ$69,((AQ73^2+AP73^2)/2)^0.5)</f>
        <v>0</v>
      </c>
      <c r="AV73" s="32">
        <f t="shared" ref="AV73:AV80" si="42">MAX(0,($AV$69*AP73-$AU$69*AQ73)/$AV$71)</f>
        <v>0.1876430205949656</v>
      </c>
      <c r="AW73" s="32">
        <f t="shared" ref="AW73:AW80" si="43">AV73-N73*$AW$69</f>
        <v>7.3226544622425602E-2</v>
      </c>
      <c r="AX73" s="32">
        <f t="shared" ref="AX73:AX80" si="44">(E73-N73*$AX$69)+$AY$69</f>
        <v>0.03</v>
      </c>
      <c r="AY73" s="32">
        <f t="shared" ref="AY73:AY80" si="45">MAX(0,(D73-N73*$C$22)-$AY$69)</f>
        <v>6.9999999999999979E-2</v>
      </c>
      <c r="AZ73" s="32">
        <f t="shared" ref="AZ73:AZ80" si="46">((4-(3.3+10^(-5*AY73-0.16)))*AX73+0.754*AY73)/((4-(3.3+10^(-5*AY73-0.16)))+0.754)</f>
        <v>5.6341291010813477E-2</v>
      </c>
      <c r="BA73" s="32">
        <f t="shared" ref="BA73:BA80" si="47">IF(N73&gt;0.85,AO73,(AO73-AZ73*$D$25-N73*$D$22)/(1-AZ73-N73))</f>
        <v>2650</v>
      </c>
      <c r="BB73" s="32">
        <f t="shared" ref="BB73:BB80" si="48">MAX(AZ73,IF(BA73&lt;$D$19,-AX73/(AY73/0.8-1)/(1+AX73/(0.8-AY73))+2*(0.3-AZ73)*$BB$69,0))</f>
        <v>5.6341291010813477E-2</v>
      </c>
      <c r="BC73" s="32">
        <f t="shared" ref="BC73:BC80" ca="1" si="49">($D$31*W73+$D$34*X73+$D$37*Y73)*(1-N73)+N73*$D$22</f>
        <v>2650</v>
      </c>
      <c r="BD73" s="32">
        <f t="shared" ref="BD73:BD80" ca="1" si="50">(AO73-BC73)/($D$25-BC73)</f>
        <v>0</v>
      </c>
      <c r="BE73" s="32">
        <f t="shared" ref="BE73:BE80" si="51">$G$51*(1-N73)</f>
        <v>0</v>
      </c>
      <c r="BF73" s="32">
        <f t="shared" ref="BF73:BF80" ca="1" si="52">INDIRECT(IF($C$66,"BE",IF($C$65,"BD",IF($C$64,"BB",IF($C$63,"AW",IF($C$62,"AU",IF($C$61,"AT",IF($C$60,"AS","AR")))))))&amp;FIXED(BY73,0,TRUE))</f>
        <v>5.6341291010813477E-2</v>
      </c>
      <c r="BG73" s="32">
        <f t="shared" ref="BG73:BG80" ca="1" si="53">($C$42*AA73/(C73*((O73+0.0001)^$C$45)))^(1/$C$48)</f>
        <v>2692.9950019046537</v>
      </c>
      <c r="BH73" s="32">
        <f t="shared" ref="BH73:BH80" ca="1" si="54">$C$42*AA73*(1-N73)/((O73+0.0001)^$C$45)</f>
        <v>0</v>
      </c>
      <c r="BI73" s="32">
        <f t="shared" ref="BI73:BI80" ca="1" si="55">BH73*N73/(2*$B$22)</f>
        <v>0</v>
      </c>
      <c r="BJ73" s="32">
        <f t="shared" ref="BJ73:BJ80" ca="1" si="56">(((BI73^2)+BH73/C73)^0.5-BI73)^(2/$C$48)</f>
        <v>0</v>
      </c>
      <c r="BK73" s="32">
        <f t="shared" ref="BK73:BK80" si="57">MAX(0.5,1+($AW$69*N73/(AV73+0.0001)*(AA73-$BK$69)/$BK$69))</f>
        <v>1.3297196913545584</v>
      </c>
      <c r="BL73" s="32">
        <f t="shared" ref="BL73:BL80" si="58">$C$42*AA73/((AV73+0.0001)^$C$45)*BK73</f>
        <v>7.0657620825737393</v>
      </c>
      <c r="BM73" s="32">
        <f t="shared" ref="BM73:BM80" si="59">MIN(1,(BL73/C73)^(1/$C$48))</f>
        <v>0.93979798910282708</v>
      </c>
      <c r="BN73" s="32">
        <f t="shared" ref="BN73:BN80" ca="1" si="60">IF((AV73*BM73-$AW$69*N73)/(O73+0.0001)&lt;0.02,1,(AV73*BM73-$AW$69*N73)/(O73+0.0001))</f>
        <v>619.30057451789048</v>
      </c>
      <c r="BO73" s="32">
        <f t="shared" ref="BO73:BO80" ca="1" si="61">IF(O73&gt;0.001,$C$51/O73/(1-N73),1)</f>
        <v>1</v>
      </c>
      <c r="BP73" s="32">
        <f t="shared" ref="BP73:BP80" ca="1" si="62">IF(O73&gt;0.001,MIN(S73/O73,BO73,1),1)</f>
        <v>1</v>
      </c>
      <c r="BQ73" s="32" t="e">
        <f>NA()</f>
        <v>#N/A</v>
      </c>
      <c r="BR73" s="32" t="e">
        <f>NA()</f>
        <v>#N/A</v>
      </c>
      <c r="BS73" s="32" t="e">
        <f>NA()</f>
        <v>#N/A</v>
      </c>
      <c r="BT73" s="32">
        <f t="shared" ref="BT73:BT80" ca="1" si="63">$G$48*(O73^6)/(BP73^2)</f>
        <v>0</v>
      </c>
      <c r="BU73" s="32">
        <f t="shared" ref="BU73:BU80" ca="1" si="64">$G$48/19*(O73^4.4)/(BP73^2)</f>
        <v>0</v>
      </c>
      <c r="BV73" s="32">
        <f t="shared" ref="BV73:BV80" ca="1" si="65">IF(O73,+$G$48/20*O73^4*(AV73/BP73/O73-1)^2,0)</f>
        <v>0</v>
      </c>
      <c r="BW73" s="32">
        <f t="shared" ref="BW73:BW80" ca="1" si="66">10^($H$64*O73+$H$65)</f>
        <v>0.01</v>
      </c>
      <c r="BX73" s="32" t="e">
        <f>NA()</f>
        <v>#N/A</v>
      </c>
      <c r="BY73" s="32">
        <f t="shared" si="7"/>
        <v>73</v>
      </c>
      <c r="BZ73" s="32" t="e">
        <f>NA()</f>
        <v>#N/A</v>
      </c>
      <c r="CA73" s="32">
        <f t="shared" ref="CA73:CA80" si="67">(V73-$D$34)/$CA$69</f>
        <v>1</v>
      </c>
      <c r="CB73" s="32">
        <f t="shared" ref="CB73:CB80" si="68">(I73-$B$34-$CD$69*N73)/$CB$69</f>
        <v>2.3839816807153991</v>
      </c>
      <c r="CC73" s="32">
        <f t="shared" ref="CC73:CC80" si="69">0.01*(188-(AR73*188+(1-AR73)*47.3))/(AX73+(1-AX73)*2.71-$CC$69)</f>
        <v>0.94515414776973539</v>
      </c>
      <c r="CD73" s="32">
        <f t="shared" ref="CD73:CD80" si="70">(1-AY73)/(AX73+(1-AX73)*2.71-$CC$69)</f>
        <v>0.56068005064206927</v>
      </c>
      <c r="CE73" s="32">
        <f t="shared" ref="CE73:CE80" si="71">(CC73-$F$34)/$CE$69</f>
        <v>5.3887659182309227</v>
      </c>
      <c r="CF73" s="32">
        <f t="shared" ref="CF73:CF80" si="72">(CD73-$G$34)/$CH$69</f>
        <v>0.31441608016857803</v>
      </c>
      <c r="CG73" s="32">
        <f t="shared" ref="CG73:CG80" si="73">(-CC73*$CH$69+CD73*$CE$69+$F$34*$G$31-$F$31*$G$34)/$CG$69</f>
        <v>4.8714475624782496</v>
      </c>
      <c r="CH73" s="32">
        <f t="shared" ref="CH73:CH80" si="74">(CG73*$CI$69-CD73+$G$31)/$CH$69</f>
        <v>-1.3624696978721322</v>
      </c>
      <c r="CI73" s="32">
        <f t="shared" ref="CI73:CI80" si="75">MAX(0,1-CG73-CH73)/(MAX(0,1-CG73-CH73)+MAX(0,CH73)+MAX(0,CG73))</f>
        <v>0</v>
      </c>
      <c r="CJ73" s="32">
        <f t="shared" ref="CJ73:CJ80" si="76">MAX(0,CH73)/(MAX(0,1-CG73-CH73)+MAX(0,CG73)+MAX(0,CH73))</f>
        <v>0</v>
      </c>
      <c r="CK73" s="32">
        <f t="shared" ref="CK73:CK80" si="77">(-BA73*$CL$69+((I73*AO73/$L$15-$H$22*N73)/(1-BB73))*$CA$69+$D$34*$H$31-$D$31*$H$34)/$CK$69</f>
        <v>-0.62403981804387343</v>
      </c>
      <c r="CL73" s="32">
        <f t="shared" ref="CL73:CL80" si="78">(CK73*$CM$69-((I73*AO73/$L$15-$H$22*N73)/(1-BB73))+$H$31)/$CL$69</f>
        <v>0.17019267764832663</v>
      </c>
      <c r="CM73" s="32">
        <f t="shared" ref="CM73:CM80" si="79">MAX(0,1-CK73-CL73)/(MAX(0,1-CK73-CL73)+MAX(0,CL73)+MAX(0,CK73))</f>
        <v>0.89520412260992421</v>
      </c>
      <c r="CN73" s="32">
        <f t="shared" ref="CN73:CN80" si="80">MAX(0,CL73)/(MAX(0,1-CK73-CL73)+MAX(0,CK73)+MAX(0,CL73))</f>
        <v>0.10479587739007572</v>
      </c>
      <c r="CO73" s="94">
        <f ca="1">(N73&lt;=$O$6)*(O73&gt;=$P$6)*(P73&lt;=$Q$6)*(Q73&gt;=$R$6)*(A73&gt;=$O$9)*(B73&lt;=$Q$9)</f>
        <v>1</v>
      </c>
      <c r="CP73" s="94">
        <f ca="1">(N73&lt;=$O$7)*(O73&gt;=$P$7)*(P73&lt;=$Q$7)*(Q73&gt;=$R$7)*(A73&gt;=$O$9)*(B73&lt;=$Q$9)</f>
        <v>0</v>
      </c>
      <c r="CQ73" s="94">
        <f ca="1">(N73&lt;=$O$8)*(O73&gt;=$P$8)*(P73&lt;=$Q$8)*(Q73&gt;=$R$8)*(A73&gt;=$O$9)*(B73&lt;=$Q$9)</f>
        <v>0</v>
      </c>
      <c r="CR73" s="32">
        <f t="shared" ref="CR73:CR80" ca="1" si="81">$M73*$N73*CO73</f>
        <v>5</v>
      </c>
      <c r="CS73" s="32">
        <f t="shared" ref="CS73:CS80" ca="1" si="82">$O73*$M73*CO73</f>
        <v>0</v>
      </c>
      <c r="CT73" s="32">
        <f t="shared" ref="CT73:CT80" ca="1" si="83">CS73*(1-$P73)*CO73</f>
        <v>0</v>
      </c>
      <c r="CU73" s="32">
        <f t="shared" ref="CU73:CU80" ca="1" si="84">$Q73*$M73*CO73</f>
        <v>0.05</v>
      </c>
      <c r="CV73" s="32">
        <f t="shared" ref="CV73:CV80" ca="1" si="85">$M73*CO73</f>
        <v>5</v>
      </c>
      <c r="CW73" s="32">
        <f t="shared" ref="CW73:CW80" ca="1" si="86">$M73*$N73*CP73</f>
        <v>0</v>
      </c>
      <c r="CX73" s="32">
        <f t="shared" ref="CX73:CX80" ca="1" si="87">$O73*$M73*CP73</f>
        <v>0</v>
      </c>
      <c r="CY73" s="32">
        <f t="shared" ref="CY73:CY80" ca="1" si="88">CX73*(1-$P73)*CP73</f>
        <v>0</v>
      </c>
      <c r="CZ73" s="32">
        <f t="shared" ref="CZ73:CZ80" ca="1" si="89">$Q73*$M73*CP73</f>
        <v>0</v>
      </c>
      <c r="DA73" s="32">
        <f t="shared" ref="DA73:DA80" ca="1" si="90">$M73*CP73</f>
        <v>0</v>
      </c>
      <c r="DB73" s="32">
        <f t="shared" ref="DB73:DB80" ca="1" si="91">$M73*$N73*CQ73</f>
        <v>0</v>
      </c>
      <c r="DC73" s="32">
        <f t="shared" ref="DC73:DC80" ca="1" si="92">$O73*$M73*CQ73</f>
        <v>0</v>
      </c>
      <c r="DD73" s="32">
        <f t="shared" ref="DD73:DD80" ca="1" si="93">DC73*(1-$P73)*CQ73</f>
        <v>0</v>
      </c>
      <c r="DE73" s="32">
        <f t="shared" ref="DE73:DE80" ca="1" si="94">$Q73*$M73*CQ73</f>
        <v>0</v>
      </c>
      <c r="DF73" s="32">
        <f t="shared" ref="DF73:DF80" ca="1" si="95">$M73*CQ73</f>
        <v>0</v>
      </c>
      <c r="DG73" s="32" t="s">
        <v>335</v>
      </c>
      <c r="DH73" s="32">
        <v>169</v>
      </c>
      <c r="DI73" s="32">
        <v>2052.9</v>
      </c>
      <c r="DJ73" s="32">
        <f t="shared" ref="DJ73:DJ80" ca="1" si="96">P73</f>
        <v>1</v>
      </c>
      <c r="DK73" s="32">
        <f t="shared" ref="DK73:DK80" ca="1" si="97">O73</f>
        <v>0</v>
      </c>
      <c r="DL73" s="32">
        <f t="shared" ref="DL73:DL80" ca="1" si="98">Q73</f>
        <v>0.01</v>
      </c>
      <c r="DM73" s="32">
        <f t="shared" ref="DM73:DM80" ca="1" si="99">O73</f>
        <v>0</v>
      </c>
      <c r="DN73" s="32">
        <f t="shared" ref="DN73:DO80" si="100">D73</f>
        <v>0.3</v>
      </c>
      <c r="DO73" s="32">
        <f t="shared" si="100"/>
        <v>0</v>
      </c>
      <c r="DP73" s="32">
        <f t="shared" ref="DP73:DP80" si="101">C73</f>
        <v>8</v>
      </c>
      <c r="DQ73" s="32">
        <f t="shared" ref="DQ73:DQ80" ca="1" si="102">O73</f>
        <v>0</v>
      </c>
      <c r="DR73" s="32">
        <f ca="1">IF($AH73=" TAR PAY",M73*AG73,0)</f>
        <v>0</v>
      </c>
      <c r="DS73" s="31">
        <f ca="1">IF($AH73=" TAR PAY",M73,0)</f>
        <v>0</v>
      </c>
      <c r="DT73" s="35"/>
    </row>
    <row r="74" spans="1:124">
      <c r="A74" s="131">
        <v>545</v>
      </c>
      <c r="B74" s="90">
        <v>550</v>
      </c>
      <c r="C74" s="90">
        <v>182.9</v>
      </c>
      <c r="D74" s="91">
        <v>0.02</v>
      </c>
      <c r="E74" s="91">
        <v>-0.15</v>
      </c>
      <c r="F74" s="90">
        <f>51.5*$L$9</f>
        <v>168.96325459317566</v>
      </c>
      <c r="G74" s="90">
        <v>36</v>
      </c>
      <c r="H74" s="90">
        <v>-47</v>
      </c>
      <c r="I74" s="92">
        <v>4</v>
      </c>
      <c r="J74" s="90">
        <v>32</v>
      </c>
      <c r="K74" s="90">
        <v>100</v>
      </c>
      <c r="L74" s="90">
        <v>1010</v>
      </c>
      <c r="M74" s="33">
        <f t="shared" si="8"/>
        <v>5</v>
      </c>
      <c r="N74" s="34">
        <f t="shared" si="9"/>
        <v>5.8823529411764705E-2</v>
      </c>
      <c r="O74" s="73">
        <f t="shared" ca="1" si="10"/>
        <v>0</v>
      </c>
      <c r="P74" s="34">
        <f t="shared" ca="1" si="11"/>
        <v>0.9294669610389974</v>
      </c>
      <c r="Q74" s="74">
        <f t="shared" ca="1" si="12"/>
        <v>0.01</v>
      </c>
      <c r="R74" s="34">
        <f t="shared" ca="1" si="13"/>
        <v>-1.037442473860941E-5</v>
      </c>
      <c r="S74" s="34">
        <f t="shared" ca="1" si="14"/>
        <v>0</v>
      </c>
      <c r="T74" s="93" t="str">
        <f t="shared" ref="T74:T80" ca="1" si="103">IF(CQ74=0,IF(N74&gt;$O$8,"SHALY",IF((O74&lt;$P$8)+(Q74&lt;$R$8),"TIGHT","  WET")),IF(S74&lt;1.2*$C$51/(1-N74+0.01),IF($I$51,"  GAS","  OIL"),"  H2O"))</f>
        <v>TIGHT</v>
      </c>
      <c r="U74" s="74">
        <f t="shared" ca="1" si="15"/>
        <v>133118.22244222675</v>
      </c>
      <c r="V74" s="74">
        <f t="shared" ca="1" si="16"/>
        <v>2912.9687499999995</v>
      </c>
      <c r="W74" s="34">
        <f t="shared" ca="1" si="17"/>
        <v>0</v>
      </c>
      <c r="X74" s="34">
        <f t="shared" si="18"/>
        <v>0.87187070570850311</v>
      </c>
      <c r="Y74" s="34">
        <f t="shared" ca="1" si="19"/>
        <v>0.12812929429149689</v>
      </c>
      <c r="Z74" s="74">
        <f t="shared" si="20"/>
        <v>465</v>
      </c>
      <c r="AA74" s="31">
        <f t="shared" si="21"/>
        <v>0.23462522851919559</v>
      </c>
      <c r="AB74" s="32">
        <f t="shared" ca="1" si="22"/>
        <v>0</v>
      </c>
      <c r="AC74" s="32">
        <f t="shared" ca="1" si="23"/>
        <v>0</v>
      </c>
      <c r="AD74" s="75">
        <f t="shared" si="24"/>
        <v>155.88235294117646</v>
      </c>
      <c r="AE74" s="75">
        <f t="shared" ca="1" si="25"/>
        <v>2494.1176470588234</v>
      </c>
      <c r="AF74" s="75">
        <f t="shared" ca="1" si="26"/>
        <v>2650</v>
      </c>
      <c r="AG74" s="32">
        <f t="shared" ca="1" si="27"/>
        <v>0</v>
      </c>
      <c r="AH74" s="32" t="str">
        <f t="shared" ca="1" si="28"/>
        <v xml:space="preserve">    NO</v>
      </c>
      <c r="AI74" s="32">
        <f t="shared" si="29"/>
        <v>24.083333333333336</v>
      </c>
      <c r="AJ74" s="32">
        <f t="shared" si="30"/>
        <v>5.8823529411764705E-2</v>
      </c>
      <c r="AK74" s="32">
        <f t="shared" si="31"/>
        <v>1</v>
      </c>
      <c r="AL74" s="32">
        <f t="shared" si="32"/>
        <v>0.06</v>
      </c>
      <c r="AM74" s="32">
        <f t="shared" si="33"/>
        <v>0.86842105263157776</v>
      </c>
      <c r="AN74" s="32">
        <f t="shared" si="34"/>
        <v>5.8823529411764705E-2</v>
      </c>
      <c r="AO74" s="32">
        <f t="shared" si="35"/>
        <v>2897.4999999999995</v>
      </c>
      <c r="AP74" s="32">
        <f t="shared" si="36"/>
        <v>-0.14999999999999972</v>
      </c>
      <c r="AQ74" s="32">
        <f t="shared" si="37"/>
        <v>4.8000000000000001E-2</v>
      </c>
      <c r="AR74" s="32">
        <f t="shared" si="38"/>
        <v>-3.6625971143174292E-2</v>
      </c>
      <c r="AS74" s="32">
        <f t="shared" si="39"/>
        <v>-0.14999999999999972</v>
      </c>
      <c r="AT74" s="32">
        <f t="shared" si="40"/>
        <v>3.4588235294117649E-2</v>
      </c>
      <c r="AU74" s="32">
        <f t="shared" si="41"/>
        <v>-0.14999999999999972</v>
      </c>
      <c r="AV74" s="32">
        <f t="shared" si="42"/>
        <v>0</v>
      </c>
      <c r="AW74" s="32">
        <f t="shared" si="43"/>
        <v>-6.7303809395611765E-3</v>
      </c>
      <c r="AX74" s="32">
        <f t="shared" si="44"/>
        <v>-0.12</v>
      </c>
      <c r="AY74" s="32">
        <f t="shared" si="45"/>
        <v>0</v>
      </c>
      <c r="AZ74" s="32">
        <f t="shared" si="46"/>
        <v>-1.28617596927223E-3</v>
      </c>
      <c r="BA74" s="32">
        <f t="shared" si="47"/>
        <v>2910.358127239293</v>
      </c>
      <c r="BB74" s="32">
        <f t="shared" si="48"/>
        <v>0</v>
      </c>
      <c r="BC74" s="32">
        <f t="shared" ca="1" si="49"/>
        <v>2837.7640592125745</v>
      </c>
      <c r="BD74" s="32">
        <f t="shared" ca="1" si="50"/>
        <v>-3.2504684422340974E-2</v>
      </c>
      <c r="BE74" s="32">
        <f t="shared" si="51"/>
        <v>0.32</v>
      </c>
      <c r="BF74" s="32">
        <f t="shared" ca="1" si="52"/>
        <v>0</v>
      </c>
      <c r="BG74" s="32">
        <f t="shared" ca="1" si="53"/>
        <v>562.69926298471364</v>
      </c>
      <c r="BH74" s="32">
        <f t="shared" ca="1" si="54"/>
        <v>54505139.987831958</v>
      </c>
      <c r="BI74" s="32">
        <f t="shared" ca="1" si="55"/>
        <v>160309.23525832928</v>
      </c>
      <c r="BJ74" s="32">
        <f t="shared" ca="1" si="56"/>
        <v>0.9294669610389974</v>
      </c>
      <c r="BK74" s="32">
        <f t="shared" si="57"/>
        <v>37.223666182717267</v>
      </c>
      <c r="BL74" s="32">
        <f t="shared" si="58"/>
        <v>2155686207.1586647</v>
      </c>
      <c r="BM74" s="32">
        <f t="shared" si="59"/>
        <v>1</v>
      </c>
      <c r="BN74" s="32">
        <f t="shared" ca="1" si="60"/>
        <v>1</v>
      </c>
      <c r="BO74" s="32">
        <f t="shared" ca="1" si="61"/>
        <v>1</v>
      </c>
      <c r="BP74" s="32">
        <f t="shared" ca="1" si="62"/>
        <v>1</v>
      </c>
      <c r="BQ74" s="32" t="e">
        <f>NA()</f>
        <v>#N/A</v>
      </c>
      <c r="BR74" s="32" t="e">
        <f>NA()</f>
        <v>#N/A</v>
      </c>
      <c r="BS74" s="32" t="e">
        <f>NA()</f>
        <v>#N/A</v>
      </c>
      <c r="BT74" s="32">
        <f t="shared" ca="1" si="63"/>
        <v>0</v>
      </c>
      <c r="BU74" s="32">
        <f t="shared" ca="1" si="64"/>
        <v>0</v>
      </c>
      <c r="BV74" s="32">
        <f t="shared" ca="1" si="65"/>
        <v>0</v>
      </c>
      <c r="BW74" s="32">
        <f t="shared" ca="1" si="66"/>
        <v>0.01</v>
      </c>
      <c r="BX74" s="32" t="e">
        <f>NA()</f>
        <v>#N/A</v>
      </c>
      <c r="BY74" s="32">
        <f t="shared" si="7"/>
        <v>74</v>
      </c>
      <c r="BZ74" s="32" t="e">
        <f>NA()</f>
        <v>#N/A</v>
      </c>
      <c r="CA74" s="32">
        <f t="shared" ca="1" si="67"/>
        <v>-0.19531249999999795</v>
      </c>
      <c r="CB74" s="32">
        <f t="shared" si="68"/>
        <v>-0.50561114020592968</v>
      </c>
      <c r="CC74" s="32">
        <f t="shared" si="69"/>
        <v>0.76155636037930574</v>
      </c>
      <c r="CD74" s="32">
        <f t="shared" si="70"/>
        <v>0.5221386800334169</v>
      </c>
      <c r="CE74" s="32">
        <f t="shared" si="71"/>
        <v>-0.28070997752046933</v>
      </c>
      <c r="CF74" s="32">
        <f t="shared" si="72"/>
        <v>-0.10937280480699976</v>
      </c>
      <c r="CG74" s="32">
        <f t="shared" si="73"/>
        <v>-0.16448610738587072</v>
      </c>
      <c r="CH74" s="32">
        <f t="shared" si="74"/>
        <v>1.1785260416987111</v>
      </c>
      <c r="CI74" s="32">
        <f t="shared" si="75"/>
        <v>0</v>
      </c>
      <c r="CJ74" s="32">
        <f t="shared" si="76"/>
        <v>1</v>
      </c>
      <c r="CK74" s="32">
        <f t="shared" si="77"/>
        <v>0.1672161303167691</v>
      </c>
      <c r="CL74" s="32">
        <f t="shared" si="78"/>
        <v>1.1378416337285777</v>
      </c>
      <c r="CM74" s="32">
        <f t="shared" si="79"/>
        <v>0</v>
      </c>
      <c r="CN74" s="32">
        <f t="shared" si="80"/>
        <v>0.87187070570850311</v>
      </c>
      <c r="CO74" s="94">
        <f t="shared" ref="CO74:CO80" ca="1" si="104">(N74&lt;=$O$6)*(O74&gt;=$P$6)*(P74&lt;=$Q$6)*(Q74&gt;=$R$6)*(A74&gt;=$O$9)*(B74&lt;=$Q$9)</f>
        <v>1</v>
      </c>
      <c r="CP74" s="94">
        <f t="shared" ref="CP74:CP80" ca="1" si="105">(N74&lt;=$O$7)*(O74&gt;=$P$7)*(P74&lt;=$Q$7)*(Q74&gt;=$R$7)*(A74&gt;=$O$9)*(B74&lt;=$Q$9)</f>
        <v>0</v>
      </c>
      <c r="CQ74" s="94">
        <f t="shared" ref="CQ74:CQ80" ca="1" si="106">(N74&lt;=$O$8)*(O74&gt;=$P$8)*(P74&lt;=$Q$8)*(Q74&gt;=$R$8)*(A74&gt;=$O$9)*(B74&lt;=$Q$9)</f>
        <v>0</v>
      </c>
      <c r="CR74" s="32">
        <f t="shared" ca="1" si="81"/>
        <v>0.29411764705882354</v>
      </c>
      <c r="CS74" s="32">
        <f t="shared" ca="1" si="82"/>
        <v>0</v>
      </c>
      <c r="CT74" s="32">
        <f t="shared" ca="1" si="83"/>
        <v>0</v>
      </c>
      <c r="CU74" s="32">
        <f t="shared" ca="1" si="84"/>
        <v>0.05</v>
      </c>
      <c r="CV74" s="32">
        <f t="shared" ca="1" si="85"/>
        <v>5</v>
      </c>
      <c r="CW74" s="32">
        <f t="shared" ca="1" si="86"/>
        <v>0</v>
      </c>
      <c r="CX74" s="32">
        <f t="shared" ca="1" si="87"/>
        <v>0</v>
      </c>
      <c r="CY74" s="32">
        <f t="shared" ca="1" si="88"/>
        <v>0</v>
      </c>
      <c r="CZ74" s="32">
        <f t="shared" ca="1" si="89"/>
        <v>0</v>
      </c>
      <c r="DA74" s="32">
        <f t="shared" ca="1" si="90"/>
        <v>0</v>
      </c>
      <c r="DB74" s="32">
        <f t="shared" ca="1" si="91"/>
        <v>0</v>
      </c>
      <c r="DC74" s="32">
        <f t="shared" ca="1" si="92"/>
        <v>0</v>
      </c>
      <c r="DD74" s="32">
        <f t="shared" ca="1" si="93"/>
        <v>0</v>
      </c>
      <c r="DE74" s="32">
        <f t="shared" ca="1" si="94"/>
        <v>0</v>
      </c>
      <c r="DF74" s="32">
        <f t="shared" ca="1" si="95"/>
        <v>0</v>
      </c>
      <c r="DG74" s="32" t="s">
        <v>335</v>
      </c>
      <c r="DH74" s="32">
        <v>169</v>
      </c>
      <c r="DI74" s="32">
        <v>2052.9</v>
      </c>
      <c r="DJ74" s="32">
        <f t="shared" ca="1" si="96"/>
        <v>0.9294669610389974</v>
      </c>
      <c r="DK74" s="32">
        <f t="shared" ca="1" si="97"/>
        <v>0</v>
      </c>
      <c r="DL74" s="32">
        <f t="shared" ca="1" si="98"/>
        <v>0.01</v>
      </c>
      <c r="DM74" s="32">
        <f t="shared" ca="1" si="99"/>
        <v>0</v>
      </c>
      <c r="DN74" s="32">
        <f t="shared" si="100"/>
        <v>0.02</v>
      </c>
      <c r="DO74" s="32">
        <f t="shared" si="100"/>
        <v>-0.15</v>
      </c>
      <c r="DP74" s="32">
        <f t="shared" si="101"/>
        <v>182.9</v>
      </c>
      <c r="DQ74" s="32">
        <f t="shared" ca="1" si="102"/>
        <v>0</v>
      </c>
      <c r="DR74" s="32">
        <f t="shared" ref="DR74:DR80" ca="1" si="107">IF($AH74=" TAR PAY",M74*AG74,0)</f>
        <v>0</v>
      </c>
      <c r="DS74" s="31">
        <f t="shared" ref="DS74:DS80" ca="1" si="108">IF($AH74=" TAR PAY",M74,0)</f>
        <v>0</v>
      </c>
      <c r="DT74" s="67"/>
    </row>
    <row r="75" spans="1:124">
      <c r="A75" s="131">
        <v>550</v>
      </c>
      <c r="B75" s="90">
        <v>555</v>
      </c>
      <c r="C75" s="90">
        <v>2</v>
      </c>
      <c r="D75" s="91">
        <v>0.33</v>
      </c>
      <c r="E75" s="91">
        <v>0.31</v>
      </c>
      <c r="F75" s="90">
        <f>51*$L$9</f>
        <v>167.3228346456691</v>
      </c>
      <c r="G75" s="90">
        <v>36.5</v>
      </c>
      <c r="H75" s="90">
        <v>-47</v>
      </c>
      <c r="I75" s="92">
        <v>2.1</v>
      </c>
      <c r="J75" s="90">
        <v>32</v>
      </c>
      <c r="K75" s="90">
        <v>100</v>
      </c>
      <c r="L75" s="90">
        <v>1010</v>
      </c>
      <c r="M75" s="33">
        <f t="shared" si="8"/>
        <v>5</v>
      </c>
      <c r="N75" s="34">
        <f t="shared" si="9"/>
        <v>0.06</v>
      </c>
      <c r="O75" s="73">
        <f t="shared" ca="1" si="10"/>
        <v>0.31256034877862215</v>
      </c>
      <c r="P75" s="34">
        <f t="shared" ca="1" si="11"/>
        <v>0.90668553114853034</v>
      </c>
      <c r="Q75" s="74">
        <f t="shared" ca="1" si="12"/>
        <v>8943.0212035116474</v>
      </c>
      <c r="R75" s="34">
        <f t="shared" ca="1" si="13"/>
        <v>0.28517657325201284</v>
      </c>
      <c r="S75" s="34">
        <f t="shared" ca="1" si="14"/>
        <v>0.2833939458483149</v>
      </c>
      <c r="T75" s="93" t="str">
        <f t="shared" ca="1" si="103"/>
        <v xml:space="preserve">  WET</v>
      </c>
      <c r="U75" s="74">
        <f t="shared" ca="1" si="15"/>
        <v>133118.22244222675</v>
      </c>
      <c r="V75" s="74">
        <f t="shared" ca="1" si="16"/>
        <v>2656.7330387496281</v>
      </c>
      <c r="W75" s="34">
        <f t="shared" ca="1" si="17"/>
        <v>0.88829009774203616</v>
      </c>
      <c r="X75" s="34">
        <f t="shared" si="18"/>
        <v>1.9027883843408737E-4</v>
      </c>
      <c r="Y75" s="34">
        <f t="shared" ca="1" si="19"/>
        <v>0.11151962341952976</v>
      </c>
      <c r="Z75" s="74">
        <f t="shared" si="20"/>
        <v>460</v>
      </c>
      <c r="AA75" s="31">
        <f t="shared" si="21"/>
        <v>0.23419708029197081</v>
      </c>
      <c r="AB75" s="32">
        <f t="shared" ca="1" si="22"/>
        <v>29.166402930307228</v>
      </c>
      <c r="AC75" s="32">
        <f t="shared" ca="1" si="23"/>
        <v>283.3939458483149</v>
      </c>
      <c r="AD75" s="75">
        <f t="shared" si="24"/>
        <v>159</v>
      </c>
      <c r="AE75" s="75">
        <f t="shared" ca="1" si="25"/>
        <v>1662.7150757366512</v>
      </c>
      <c r="AF75" s="75">
        <f t="shared" ca="1" si="26"/>
        <v>2134.2754245152732</v>
      </c>
      <c r="AG75" s="32">
        <f t="shared" ca="1" si="27"/>
        <v>1.3665716521536281E-2</v>
      </c>
      <c r="AH75" s="32" t="str">
        <f t="shared" ca="1" si="28"/>
        <v xml:space="preserve">    NO</v>
      </c>
      <c r="AI75" s="32">
        <f t="shared" si="29"/>
        <v>24.166666666666664</v>
      </c>
      <c r="AJ75" s="32">
        <f t="shared" si="30"/>
        <v>6.6176470588235295E-2</v>
      </c>
      <c r="AK75" s="32">
        <f t="shared" si="31"/>
        <v>1</v>
      </c>
      <c r="AL75" s="32">
        <f t="shared" si="32"/>
        <v>0.06</v>
      </c>
      <c r="AM75" s="32">
        <f t="shared" si="33"/>
        <v>0.21052631578947387</v>
      </c>
      <c r="AN75" s="32">
        <f t="shared" si="34"/>
        <v>0.06</v>
      </c>
      <c r="AO75" s="32">
        <f t="shared" si="35"/>
        <v>2138.5</v>
      </c>
      <c r="AP75" s="32">
        <f t="shared" si="36"/>
        <v>0.31</v>
      </c>
      <c r="AQ75" s="32">
        <f t="shared" si="37"/>
        <v>0.35800000000000004</v>
      </c>
      <c r="AR75" s="32">
        <f t="shared" si="38"/>
        <v>-4.0528301886792482E-2</v>
      </c>
      <c r="AS75" s="32">
        <f t="shared" si="39"/>
        <v>0.31</v>
      </c>
      <c r="AT75" s="32">
        <f t="shared" si="40"/>
        <v>0.34432000000000001</v>
      </c>
      <c r="AU75" s="32">
        <f t="shared" si="41"/>
        <v>0.31</v>
      </c>
      <c r="AV75" s="32">
        <f t="shared" si="42"/>
        <v>0.33745995423340963</v>
      </c>
      <c r="AW75" s="32">
        <f t="shared" si="43"/>
        <v>0.33059496567505725</v>
      </c>
      <c r="AX75" s="32">
        <f t="shared" si="44"/>
        <v>0.33999999999999997</v>
      </c>
      <c r="AY75" s="32">
        <f t="shared" si="45"/>
        <v>0.28800000000000003</v>
      </c>
      <c r="AZ75" s="32">
        <f t="shared" si="46"/>
        <v>0.31256034877862215</v>
      </c>
      <c r="BA75" s="32">
        <f t="shared" si="47"/>
        <v>2656.7330387496281</v>
      </c>
      <c r="BB75" s="32">
        <f t="shared" si="48"/>
        <v>0.31256034877862215</v>
      </c>
      <c r="BC75" s="32">
        <f t="shared" ca="1" si="49"/>
        <v>2656.3290564246495</v>
      </c>
      <c r="BD75" s="32">
        <f t="shared" ca="1" si="50"/>
        <v>0.31263658293988689</v>
      </c>
      <c r="BE75" s="32">
        <f t="shared" si="51"/>
        <v>0.3196</v>
      </c>
      <c r="BF75" s="32">
        <f t="shared" ca="1" si="52"/>
        <v>0.31256034877862215</v>
      </c>
      <c r="BG75" s="32">
        <f t="shared" ca="1" si="53"/>
        <v>0.94030407136341421</v>
      </c>
      <c r="BH75" s="32">
        <f t="shared" ca="1" si="54"/>
        <v>1.6622428836505116</v>
      </c>
      <c r="BI75" s="32">
        <f t="shared" ca="1" si="55"/>
        <v>4.986728650951535E-3</v>
      </c>
      <c r="BJ75" s="32">
        <f t="shared" ca="1" si="56"/>
        <v>0.90668553114853034</v>
      </c>
      <c r="BK75" s="32">
        <f t="shared" si="57"/>
        <v>1.0108885671772785</v>
      </c>
      <c r="BL75" s="32">
        <f t="shared" si="58"/>
        <v>1.5160794960659218</v>
      </c>
      <c r="BM75" s="32">
        <f t="shared" si="59"/>
        <v>0.87065478120375639</v>
      </c>
      <c r="BN75" s="32">
        <f t="shared" ca="1" si="60"/>
        <v>0.91775671325351704</v>
      </c>
      <c r="BO75" s="32">
        <f t="shared" ca="1" si="61"/>
        <v>0.1021079408880034</v>
      </c>
      <c r="BP75" s="32">
        <f t="shared" ca="1" si="62"/>
        <v>0.1021079408880034</v>
      </c>
      <c r="BQ75" s="32" t="e">
        <f>NA()</f>
        <v>#N/A</v>
      </c>
      <c r="BR75" s="32" t="e">
        <f>NA()</f>
        <v>#N/A</v>
      </c>
      <c r="BS75" s="32" t="e">
        <f>NA()</f>
        <v>#N/A</v>
      </c>
      <c r="BT75" s="32">
        <f t="shared" ca="1" si="63"/>
        <v>8943.0212035116474</v>
      </c>
      <c r="BU75" s="32">
        <f t="shared" ca="1" si="64"/>
        <v>3025.7737228619903</v>
      </c>
      <c r="BV75" s="32">
        <f t="shared" ca="1" si="65"/>
        <v>4373.9042161629714</v>
      </c>
      <c r="BW75" s="32">
        <f t="shared" ca="1" si="66"/>
        <v>75219.020392130609</v>
      </c>
      <c r="BX75" s="32" t="e">
        <f>NA()</f>
        <v>#N/A</v>
      </c>
      <c r="BY75" s="32">
        <f t="shared" si="7"/>
        <v>75</v>
      </c>
      <c r="BZ75" s="32" t="e">
        <f>NA()</f>
        <v>#N/A</v>
      </c>
      <c r="CA75" s="32">
        <f t="shared" ca="1" si="67"/>
        <v>0.96939527841078121</v>
      </c>
      <c r="CB75" s="32">
        <f t="shared" si="68"/>
        <v>0.92355353850405619</v>
      </c>
      <c r="CC75" s="32">
        <f t="shared" si="69"/>
        <v>1.2972030132506793</v>
      </c>
      <c r="CD75" s="32">
        <f t="shared" si="70"/>
        <v>0.63087010455431503</v>
      </c>
      <c r="CE75" s="32">
        <f t="shared" si="71"/>
        <v>16.25998928829468</v>
      </c>
      <c r="CF75" s="32">
        <f t="shared" si="72"/>
        <v>1.0862040112695164</v>
      </c>
      <c r="CG75" s="32">
        <f t="shared" si="73"/>
        <v>14.567048323487018</v>
      </c>
      <c r="CH75" s="32">
        <f t="shared" si="74"/>
        <v>-6.2104813714475657</v>
      </c>
      <c r="CI75" s="32">
        <f t="shared" si="75"/>
        <v>0</v>
      </c>
      <c r="CJ75" s="32">
        <f t="shared" si="76"/>
        <v>0</v>
      </c>
      <c r="CK75" s="32">
        <f t="shared" si="77"/>
        <v>0.11151962341952981</v>
      </c>
      <c r="CL75" s="32">
        <f t="shared" si="78"/>
        <v>1.9027883843408737E-4</v>
      </c>
      <c r="CM75" s="32">
        <f t="shared" si="79"/>
        <v>0.88829009774203616</v>
      </c>
      <c r="CN75" s="32">
        <f t="shared" si="80"/>
        <v>1.9027883843408737E-4</v>
      </c>
      <c r="CO75" s="94">
        <f t="shared" ca="1" si="104"/>
        <v>1</v>
      </c>
      <c r="CP75" s="94">
        <f t="shared" ca="1" si="105"/>
        <v>0</v>
      </c>
      <c r="CQ75" s="94">
        <f t="shared" ca="1" si="106"/>
        <v>0</v>
      </c>
      <c r="CR75" s="32">
        <f t="shared" ca="1" si="81"/>
        <v>0.3</v>
      </c>
      <c r="CS75" s="32">
        <f t="shared" ca="1" si="82"/>
        <v>1.5628017438931108</v>
      </c>
      <c r="CT75" s="32">
        <f t="shared" ca="1" si="83"/>
        <v>0.14583201465153614</v>
      </c>
      <c r="CU75" s="32">
        <f t="shared" ca="1" si="84"/>
        <v>44715.106017558239</v>
      </c>
      <c r="CV75" s="32">
        <f t="shared" ca="1" si="85"/>
        <v>5</v>
      </c>
      <c r="CW75" s="32">
        <f t="shared" ca="1" si="86"/>
        <v>0</v>
      </c>
      <c r="CX75" s="32">
        <f t="shared" ca="1" si="87"/>
        <v>0</v>
      </c>
      <c r="CY75" s="32">
        <f t="shared" ca="1" si="88"/>
        <v>0</v>
      </c>
      <c r="CZ75" s="32">
        <f t="shared" ca="1" si="89"/>
        <v>0</v>
      </c>
      <c r="DA75" s="32">
        <f t="shared" ca="1" si="90"/>
        <v>0</v>
      </c>
      <c r="DB75" s="32">
        <f t="shared" ca="1" si="91"/>
        <v>0</v>
      </c>
      <c r="DC75" s="32">
        <f t="shared" ca="1" si="92"/>
        <v>0</v>
      </c>
      <c r="DD75" s="32">
        <f t="shared" ca="1" si="93"/>
        <v>0</v>
      </c>
      <c r="DE75" s="32">
        <f t="shared" ca="1" si="94"/>
        <v>0</v>
      </c>
      <c r="DF75" s="32">
        <f t="shared" ca="1" si="95"/>
        <v>0</v>
      </c>
      <c r="DG75" s="32" t="s">
        <v>335</v>
      </c>
      <c r="DH75" s="32">
        <v>169</v>
      </c>
      <c r="DI75" s="32">
        <v>2052.9</v>
      </c>
      <c r="DJ75" s="32">
        <f t="shared" ca="1" si="96"/>
        <v>0.90668553114853034</v>
      </c>
      <c r="DK75" s="32">
        <f t="shared" ca="1" si="97"/>
        <v>0.31256034877862215</v>
      </c>
      <c r="DL75" s="32">
        <f t="shared" ca="1" si="98"/>
        <v>8943.0212035116474</v>
      </c>
      <c r="DM75" s="32">
        <f t="shared" ca="1" si="99"/>
        <v>0.31256034877862215</v>
      </c>
      <c r="DN75" s="32">
        <f t="shared" si="100"/>
        <v>0.33</v>
      </c>
      <c r="DO75" s="32">
        <f t="shared" si="100"/>
        <v>0.31</v>
      </c>
      <c r="DP75" s="32">
        <f t="shared" si="101"/>
        <v>2</v>
      </c>
      <c r="DQ75" s="32">
        <f t="shared" ca="1" si="102"/>
        <v>0.31256034877862215</v>
      </c>
      <c r="DR75" s="32">
        <f t="shared" ca="1" si="107"/>
        <v>0</v>
      </c>
      <c r="DS75" s="31">
        <f t="shared" ca="1" si="108"/>
        <v>0</v>
      </c>
      <c r="DT75" s="67"/>
    </row>
    <row r="76" spans="1:124">
      <c r="A76" s="131">
        <v>555</v>
      </c>
      <c r="B76" s="76">
        <v>560</v>
      </c>
      <c r="C76" s="76">
        <v>200</v>
      </c>
      <c r="D76" s="73">
        <v>0.3</v>
      </c>
      <c r="E76" s="73">
        <v>0.3</v>
      </c>
      <c r="F76" s="76">
        <f>62.8*$L$9</f>
        <v>206.03674540682391</v>
      </c>
      <c r="G76" s="76">
        <v>37.6</v>
      </c>
      <c r="H76" s="76">
        <v>-46.8</v>
      </c>
      <c r="I76" s="34">
        <v>2.1</v>
      </c>
      <c r="J76" s="76">
        <v>32</v>
      </c>
      <c r="K76" s="76">
        <v>100</v>
      </c>
      <c r="L76" s="76">
        <v>1010</v>
      </c>
      <c r="M76" s="33">
        <f t="shared" si="8"/>
        <v>5</v>
      </c>
      <c r="N76" s="34">
        <f t="shared" si="9"/>
        <v>6.4000000000000057E-2</v>
      </c>
      <c r="O76" s="73">
        <f t="shared" ca="1" si="10"/>
        <v>0.30143018172989028</v>
      </c>
      <c r="P76" s="34">
        <f t="shared" ca="1" si="11"/>
        <v>8.8957547489276131E-2</v>
      </c>
      <c r="Q76" s="74">
        <f t="shared" ca="1" si="12"/>
        <v>9478.8316499039265</v>
      </c>
      <c r="R76" s="34">
        <f t="shared" ca="1" si="13"/>
        <v>-93.480112613551327</v>
      </c>
      <c r="S76" s="34">
        <f t="shared" ca="1" si="14"/>
        <v>2.681448970593785E-2</v>
      </c>
      <c r="T76" s="93" t="str">
        <f t="shared" ca="1" si="103"/>
        <v xml:space="preserve">  OIL</v>
      </c>
      <c r="U76" s="74">
        <f t="shared" ca="1" si="15"/>
        <v>133118.22244222675</v>
      </c>
      <c r="V76" s="74">
        <f t="shared" ca="1" si="16"/>
        <v>2653.7187395088413</v>
      </c>
      <c r="W76" s="34">
        <f t="shared" ca="1" si="17"/>
        <v>0.85118991587452542</v>
      </c>
      <c r="X76" s="34">
        <f t="shared" si="18"/>
        <v>0</v>
      </c>
      <c r="Y76" s="34">
        <f t="shared" ca="1" si="19"/>
        <v>0.14881008412547458</v>
      </c>
      <c r="Z76" s="74">
        <f t="shared" si="20"/>
        <v>455</v>
      </c>
      <c r="AA76" s="31">
        <f t="shared" si="21"/>
        <v>0.23377049180327869</v>
      </c>
      <c r="AB76" s="32">
        <f t="shared" ca="1" si="22"/>
        <v>274.61569202395242</v>
      </c>
      <c r="AC76" s="32">
        <f t="shared" ca="1" si="23"/>
        <v>26.814489705937845</v>
      </c>
      <c r="AD76" s="75">
        <f t="shared" si="24"/>
        <v>169.60000000000014</v>
      </c>
      <c r="AE76" s="75">
        <f t="shared" ca="1" si="25"/>
        <v>1681.6100184157904</v>
      </c>
      <c r="AF76" s="75">
        <f t="shared" ca="1" si="26"/>
        <v>2152.6402001456809</v>
      </c>
      <c r="AG76" s="32">
        <f t="shared" ca="1" si="27"/>
        <v>0.12757157095057858</v>
      </c>
      <c r="AH76" s="32" t="str">
        <f t="shared" ca="1" si="28"/>
        <v xml:space="preserve"> TAR PAY</v>
      </c>
      <c r="AI76" s="32">
        <f t="shared" si="29"/>
        <v>24.25</v>
      </c>
      <c r="AJ76" s="32">
        <f t="shared" si="30"/>
        <v>8.2352941176470615E-2</v>
      </c>
      <c r="AK76" s="32">
        <f t="shared" si="31"/>
        <v>1</v>
      </c>
      <c r="AL76" s="32">
        <f t="shared" si="32"/>
        <v>6.4000000000000057E-2</v>
      </c>
      <c r="AM76" s="32">
        <f t="shared" si="33"/>
        <v>0.12280701754385975</v>
      </c>
      <c r="AN76" s="32">
        <f t="shared" si="34"/>
        <v>6.4000000000000057E-2</v>
      </c>
      <c r="AO76" s="32">
        <f t="shared" si="35"/>
        <v>2155</v>
      </c>
      <c r="AP76" s="32">
        <f t="shared" si="36"/>
        <v>0.3</v>
      </c>
      <c r="AQ76" s="32">
        <f t="shared" si="37"/>
        <v>0.32800000000000001</v>
      </c>
      <c r="AR76" s="32">
        <f t="shared" si="38"/>
        <v>4.8090566037735781E-2</v>
      </c>
      <c r="AS76" s="32">
        <f t="shared" si="39"/>
        <v>0.3</v>
      </c>
      <c r="AT76" s="32">
        <f t="shared" si="40"/>
        <v>0.31340800000000002</v>
      </c>
      <c r="AU76" s="32">
        <f t="shared" si="41"/>
        <v>0.3</v>
      </c>
      <c r="AV76" s="32">
        <f t="shared" si="42"/>
        <v>0.31601830663615554</v>
      </c>
      <c r="AW76" s="32">
        <f t="shared" si="43"/>
        <v>0.30869565217391298</v>
      </c>
      <c r="AX76" s="32">
        <f t="shared" si="44"/>
        <v>0.32999999999999996</v>
      </c>
      <c r="AY76" s="32">
        <f t="shared" si="45"/>
        <v>0.25719999999999998</v>
      </c>
      <c r="AZ76" s="32">
        <f t="shared" si="46"/>
        <v>0.29129489968920241</v>
      </c>
      <c r="BA76" s="32">
        <f t="shared" si="47"/>
        <v>2627.7209525628205</v>
      </c>
      <c r="BB76" s="32">
        <f t="shared" si="48"/>
        <v>0.30143018172989028</v>
      </c>
      <c r="BC76" s="32">
        <f t="shared" ca="1" si="49"/>
        <v>2658.3571743244866</v>
      </c>
      <c r="BD76" s="32">
        <f t="shared" ca="1" si="50"/>
        <v>0.30352760075918117</v>
      </c>
      <c r="BE76" s="32">
        <f t="shared" si="51"/>
        <v>0.31824000000000002</v>
      </c>
      <c r="BF76" s="32">
        <f t="shared" ca="1" si="52"/>
        <v>0.30143018172989028</v>
      </c>
      <c r="BG76" s="32">
        <f t="shared" ca="1" si="53"/>
        <v>9.7677625488569925E-2</v>
      </c>
      <c r="BH76" s="32">
        <f t="shared" ca="1" si="54"/>
        <v>1.786059947147173</v>
      </c>
      <c r="BI76" s="32">
        <f t="shared" ca="1" si="55"/>
        <v>5.7153918308709582E-3</v>
      </c>
      <c r="BJ76" s="32">
        <f t="shared" ca="1" si="56"/>
        <v>8.8957547489276131E-2</v>
      </c>
      <c r="BK76" s="32">
        <f t="shared" si="57"/>
        <v>1.0123374728949524</v>
      </c>
      <c r="BL76" s="32">
        <f t="shared" si="58"/>
        <v>1.7451387113418839</v>
      </c>
      <c r="BM76" s="32">
        <f t="shared" si="59"/>
        <v>9.3411420911521409E-2</v>
      </c>
      <c r="BN76" s="32">
        <f t="shared" ca="1" si="60"/>
        <v>7.3614735570907641E-2</v>
      </c>
      <c r="BO76" s="32">
        <f t="shared" ca="1" si="61"/>
        <v>0.1063306994254577</v>
      </c>
      <c r="BP76" s="32">
        <f t="shared" ca="1" si="62"/>
        <v>8.8957547489276131E-2</v>
      </c>
      <c r="BQ76" s="32" t="e">
        <f>NA()</f>
        <v>#N/A</v>
      </c>
      <c r="BR76" s="32" t="e">
        <f>NA()</f>
        <v>#N/A</v>
      </c>
      <c r="BS76" s="32" t="e">
        <f>NA()</f>
        <v>#N/A</v>
      </c>
      <c r="BT76" s="32">
        <f t="shared" ca="1" si="63"/>
        <v>9478.8316499039265</v>
      </c>
      <c r="BU76" s="32">
        <f t="shared" ca="1" si="64"/>
        <v>3398.6186198454966</v>
      </c>
      <c r="BV76" s="32">
        <f t="shared" ca="1" si="65"/>
        <v>4801.5992895413538</v>
      </c>
      <c r="BW76" s="32">
        <f t="shared" ca="1" si="66"/>
        <v>42801.993631744088</v>
      </c>
      <c r="BX76" s="32" t="e">
        <f>NA()</f>
        <v>#N/A</v>
      </c>
      <c r="BY76" s="32">
        <f t="shared" si="7"/>
        <v>76</v>
      </c>
      <c r="BZ76" s="32" t="e">
        <f>NA()</f>
        <v>#N/A</v>
      </c>
      <c r="CA76" s="32">
        <f t="shared" ca="1" si="67"/>
        <v>0.98309663859617602</v>
      </c>
      <c r="CB76" s="32">
        <f t="shared" si="68"/>
        <v>0.93328197564008897</v>
      </c>
      <c r="CC76" s="32">
        <f t="shared" si="69"/>
        <v>1.1690115855676926</v>
      </c>
      <c r="CD76" s="32">
        <f t="shared" si="70"/>
        <v>0.64833726106310541</v>
      </c>
      <c r="CE76" s="32">
        <f t="shared" si="71"/>
        <v>12.301454604294802</v>
      </c>
      <c r="CF76" s="32">
        <f t="shared" si="72"/>
        <v>1.2782674138847927</v>
      </c>
      <c r="CG76" s="32">
        <f t="shared" si="73"/>
        <v>10.582415498173349</v>
      </c>
      <c r="CH76" s="32">
        <f t="shared" si="74"/>
        <v>-4.7273257414366565</v>
      </c>
      <c r="CI76" s="32">
        <f t="shared" si="75"/>
        <v>0</v>
      </c>
      <c r="CJ76" s="32">
        <f t="shared" si="76"/>
        <v>0</v>
      </c>
      <c r="CK76" s="32">
        <f t="shared" si="77"/>
        <v>0.17081218153262759</v>
      </c>
      <c r="CL76" s="32">
        <f t="shared" si="78"/>
        <v>-0.14785353785971353</v>
      </c>
      <c r="CM76" s="32">
        <f t="shared" si="79"/>
        <v>0.85118991587452542</v>
      </c>
      <c r="CN76" s="32">
        <f t="shared" si="80"/>
        <v>0</v>
      </c>
      <c r="CO76" s="94">
        <f t="shared" ca="1" si="104"/>
        <v>1</v>
      </c>
      <c r="CP76" s="94">
        <f t="shared" ca="1" si="105"/>
        <v>1</v>
      </c>
      <c r="CQ76" s="94">
        <f t="shared" ca="1" si="106"/>
        <v>1</v>
      </c>
      <c r="CR76" s="32">
        <f t="shared" ca="1" si="81"/>
        <v>0.32000000000000028</v>
      </c>
      <c r="CS76" s="32">
        <f t="shared" ca="1" si="82"/>
        <v>1.5071509086494514</v>
      </c>
      <c r="CT76" s="32">
        <f t="shared" ca="1" si="83"/>
        <v>1.3730784601197623</v>
      </c>
      <c r="CU76" s="32">
        <f t="shared" ca="1" si="84"/>
        <v>47394.158249519634</v>
      </c>
      <c r="CV76" s="32">
        <f t="shared" ca="1" si="85"/>
        <v>5</v>
      </c>
      <c r="CW76" s="32">
        <f t="shared" ca="1" si="86"/>
        <v>0.32000000000000028</v>
      </c>
      <c r="CX76" s="32">
        <f t="shared" ca="1" si="87"/>
        <v>1.5071509086494514</v>
      </c>
      <c r="CY76" s="32">
        <f t="shared" ca="1" si="88"/>
        <v>1.3730784601197623</v>
      </c>
      <c r="CZ76" s="32">
        <f t="shared" ca="1" si="89"/>
        <v>47394.158249519634</v>
      </c>
      <c r="DA76" s="32">
        <f t="shared" ca="1" si="90"/>
        <v>5</v>
      </c>
      <c r="DB76" s="32">
        <f t="shared" ca="1" si="91"/>
        <v>0.32000000000000028</v>
      </c>
      <c r="DC76" s="32">
        <f t="shared" ca="1" si="92"/>
        <v>1.5071509086494514</v>
      </c>
      <c r="DD76" s="32">
        <f t="shared" ca="1" si="93"/>
        <v>1.3730784601197623</v>
      </c>
      <c r="DE76" s="32">
        <f t="shared" ca="1" si="94"/>
        <v>47394.158249519634</v>
      </c>
      <c r="DF76" s="32">
        <f t="shared" ca="1" si="95"/>
        <v>5</v>
      </c>
      <c r="DG76" s="32" t="s">
        <v>335</v>
      </c>
      <c r="DH76" s="32">
        <v>169</v>
      </c>
      <c r="DI76" s="32">
        <v>2052.9</v>
      </c>
      <c r="DJ76" s="32">
        <f t="shared" ca="1" si="96"/>
        <v>8.8957547489276131E-2</v>
      </c>
      <c r="DK76" s="32">
        <f t="shared" ca="1" si="97"/>
        <v>0.30143018172989028</v>
      </c>
      <c r="DL76" s="32">
        <f t="shared" ca="1" si="98"/>
        <v>9478.8316499039265</v>
      </c>
      <c r="DM76" s="32">
        <f t="shared" ca="1" si="99"/>
        <v>0.30143018172989028</v>
      </c>
      <c r="DN76" s="32">
        <f t="shared" si="100"/>
        <v>0.3</v>
      </c>
      <c r="DO76" s="32">
        <f t="shared" si="100"/>
        <v>0.3</v>
      </c>
      <c r="DP76" s="32">
        <f t="shared" si="101"/>
        <v>200</v>
      </c>
      <c r="DQ76" s="32">
        <f t="shared" ca="1" si="102"/>
        <v>0.30143018172989028</v>
      </c>
      <c r="DR76" s="32">
        <f t="shared" ca="1" si="107"/>
        <v>0.63785785475289292</v>
      </c>
      <c r="DS76" s="31">
        <f t="shared" ca="1" si="108"/>
        <v>5</v>
      </c>
      <c r="DT76" s="67"/>
    </row>
    <row r="77" spans="1:124">
      <c r="A77" s="131">
        <v>560</v>
      </c>
      <c r="B77" s="76">
        <v>565</v>
      </c>
      <c r="C77" s="76">
        <v>250</v>
      </c>
      <c r="D77" s="73">
        <v>0.32</v>
      </c>
      <c r="E77" s="73">
        <v>0.3</v>
      </c>
      <c r="F77" s="76">
        <f>66.3*$L$9</f>
        <v>217.51968503936985</v>
      </c>
      <c r="G77" s="76">
        <v>34.3333333333333</v>
      </c>
      <c r="H77" s="76">
        <v>-45</v>
      </c>
      <c r="I77" s="34">
        <v>2.1</v>
      </c>
      <c r="J77" s="76">
        <v>32</v>
      </c>
      <c r="K77" s="76">
        <v>100</v>
      </c>
      <c r="L77" s="76">
        <v>1010</v>
      </c>
      <c r="M77" s="33">
        <f t="shared" si="8"/>
        <v>5</v>
      </c>
      <c r="N77" s="34">
        <f t="shared" si="9"/>
        <v>3.4313725490195589E-2</v>
      </c>
      <c r="O77" s="73">
        <f t="shared" ca="1" si="10"/>
        <v>0.30524614730823751</v>
      </c>
      <c r="P77" s="34">
        <f t="shared" ca="1" si="11"/>
        <v>8.1607783015408594E-2</v>
      </c>
      <c r="Q77" s="74">
        <f t="shared" ca="1" si="12"/>
        <v>12146.131741589321</v>
      </c>
      <c r="R77" s="34">
        <f t="shared" ca="1" si="13"/>
        <v>229.19398497861519</v>
      </c>
      <c r="S77" s="34">
        <f t="shared" ca="1" si="14"/>
        <v>2.4910461355820094E-2</v>
      </c>
      <c r="T77" s="93" t="str">
        <f t="shared" ca="1" si="103"/>
        <v xml:space="preserve">  OIL</v>
      </c>
      <c r="U77" s="74">
        <f t="shared" ca="1" si="15"/>
        <v>85724.064192707112</v>
      </c>
      <c r="V77" s="74">
        <f t="shared" ca="1" si="16"/>
        <v>2663.1066279925631</v>
      </c>
      <c r="W77" s="34">
        <f t="shared" ca="1" si="17"/>
        <v>0.84223417254025779</v>
      </c>
      <c r="X77" s="34">
        <f t="shared" si="18"/>
        <v>2.2754239656116837E-2</v>
      </c>
      <c r="Y77" s="34">
        <f t="shared" ca="1" si="19"/>
        <v>0.13501158780362538</v>
      </c>
      <c r="Z77" s="74">
        <f t="shared" si="20"/>
        <v>450</v>
      </c>
      <c r="AA77" s="31">
        <f t="shared" si="21"/>
        <v>0.23334545454545455</v>
      </c>
      <c r="AB77" s="32">
        <f t="shared" ca="1" si="22"/>
        <v>280.33568595241746</v>
      </c>
      <c r="AC77" s="32">
        <f t="shared" ca="1" si="23"/>
        <v>24.910461355820097</v>
      </c>
      <c r="AD77" s="75">
        <f t="shared" si="24"/>
        <v>90.931372549018306</v>
      </c>
      <c r="AE77" s="75">
        <f t="shared" ca="1" si="25"/>
        <v>1750.1663370841522</v>
      </c>
      <c r="AF77" s="75">
        <f t="shared" ca="1" si="26"/>
        <v>2146.3438569414079</v>
      </c>
      <c r="AG77" s="32">
        <f t="shared" ca="1" si="27"/>
        <v>0.13061079893876026</v>
      </c>
      <c r="AH77" s="32" t="str">
        <f t="shared" ca="1" si="28"/>
        <v xml:space="preserve"> TAR PAY</v>
      </c>
      <c r="AI77" s="32">
        <f t="shared" si="29"/>
        <v>24.333333333333336</v>
      </c>
      <c r="AJ77" s="32">
        <f t="shared" si="30"/>
        <v>3.4313725490195589E-2</v>
      </c>
      <c r="AK77" s="32">
        <f t="shared" si="31"/>
        <v>1</v>
      </c>
      <c r="AL77" s="32">
        <f t="shared" si="32"/>
        <v>0.1</v>
      </c>
      <c r="AM77" s="32">
        <f t="shared" si="33"/>
        <v>0.21052631578947387</v>
      </c>
      <c r="AN77" s="32">
        <f t="shared" si="34"/>
        <v>3.4313725490195589E-2</v>
      </c>
      <c r="AO77" s="32">
        <f t="shared" si="35"/>
        <v>2155</v>
      </c>
      <c r="AP77" s="32">
        <f t="shared" si="36"/>
        <v>0.3</v>
      </c>
      <c r="AQ77" s="32">
        <f t="shared" si="37"/>
        <v>0.34800000000000003</v>
      </c>
      <c r="AR77" s="32">
        <f t="shared" si="38"/>
        <v>7.775434702182768E-2</v>
      </c>
      <c r="AS77" s="32">
        <f t="shared" si="39"/>
        <v>0.3</v>
      </c>
      <c r="AT77" s="32">
        <f t="shared" si="40"/>
        <v>0.34017647058823541</v>
      </c>
      <c r="AU77" s="32">
        <f t="shared" si="41"/>
        <v>0.3</v>
      </c>
      <c r="AV77" s="32">
        <f t="shared" si="42"/>
        <v>0.32745995423340957</v>
      </c>
      <c r="AW77" s="32">
        <f t="shared" si="43"/>
        <v>0.32353389868533228</v>
      </c>
      <c r="AX77" s="32">
        <f t="shared" si="44"/>
        <v>0.32999999999999996</v>
      </c>
      <c r="AY77" s="32">
        <f t="shared" si="45"/>
        <v>0.28313725490196084</v>
      </c>
      <c r="AZ77" s="32">
        <f t="shared" si="46"/>
        <v>0.30524614730823751</v>
      </c>
      <c r="BA77" s="32">
        <f t="shared" si="47"/>
        <v>2663.1066279925631</v>
      </c>
      <c r="BB77" s="32">
        <f t="shared" si="48"/>
        <v>0.30524614730823751</v>
      </c>
      <c r="BC77" s="32">
        <f t="shared" ca="1" si="49"/>
        <v>2662.6568907575247</v>
      </c>
      <c r="BD77" s="32">
        <f t="shared" ca="1" si="50"/>
        <v>0.30532871428826824</v>
      </c>
      <c r="BE77" s="32">
        <f t="shared" si="51"/>
        <v>0.32833333333333353</v>
      </c>
      <c r="BF77" s="32">
        <f t="shared" ca="1" si="52"/>
        <v>0.30524614730823751</v>
      </c>
      <c r="BG77" s="32">
        <f t="shared" ca="1" si="53"/>
        <v>8.61139747020956E-2</v>
      </c>
      <c r="BH77" s="32">
        <f t="shared" ca="1" si="54"/>
        <v>1.7902898013255553</v>
      </c>
      <c r="BI77" s="32">
        <f t="shared" ca="1" si="55"/>
        <v>3.071575639529095E-3</v>
      </c>
      <c r="BJ77" s="32">
        <f t="shared" ca="1" si="56"/>
        <v>8.1607783015408594E-2</v>
      </c>
      <c r="BK77" s="32">
        <f t="shared" si="57"/>
        <v>1.0063503081090868</v>
      </c>
      <c r="BL77" s="32">
        <f t="shared" si="58"/>
        <v>1.6042239473661868</v>
      </c>
      <c r="BM77" s="32">
        <f t="shared" si="59"/>
        <v>8.0105529081735349E-2</v>
      </c>
      <c r="BN77" s="32">
        <f t="shared" ca="1" si="60"/>
        <v>7.3049218192212231E-2</v>
      </c>
      <c r="BO77" s="32">
        <f t="shared" ca="1" si="61"/>
        <v>0.10177356904146373</v>
      </c>
      <c r="BP77" s="32">
        <f t="shared" ca="1" si="62"/>
        <v>8.1607783015408594E-2</v>
      </c>
      <c r="BQ77" s="32" t="e">
        <f>NA()</f>
        <v>#N/A</v>
      </c>
      <c r="BR77" s="32" t="e">
        <f>NA()</f>
        <v>#N/A</v>
      </c>
      <c r="BS77" s="32" t="e">
        <f>NA()</f>
        <v>#N/A</v>
      </c>
      <c r="BT77" s="32">
        <f t="shared" ca="1" si="63"/>
        <v>12146.131741589321</v>
      </c>
      <c r="BU77" s="32">
        <f t="shared" ca="1" si="64"/>
        <v>4268.1933077037083</v>
      </c>
      <c r="BV77" s="32">
        <f t="shared" ca="1" si="65"/>
        <v>6403.2445075863598</v>
      </c>
      <c r="BW77" s="32">
        <f t="shared" ca="1" si="66"/>
        <v>51929.631498830706</v>
      </c>
      <c r="BX77" s="32" t="e">
        <f>NA()</f>
        <v>#N/A</v>
      </c>
      <c r="BY77" s="32">
        <f t="shared" si="7"/>
        <v>77</v>
      </c>
      <c r="BZ77" s="32" t="e">
        <f>NA()</f>
        <v>#N/A</v>
      </c>
      <c r="CA77" s="32">
        <f t="shared" ca="1" si="67"/>
        <v>0.94042441821562239</v>
      </c>
      <c r="CB77" s="32">
        <f t="shared" si="68"/>
        <v>0.86108171179717952</v>
      </c>
      <c r="CC77" s="32">
        <f t="shared" si="69"/>
        <v>1.1325823808503868</v>
      </c>
      <c r="CD77" s="32">
        <f t="shared" si="70"/>
        <v>0.62569847699924852</v>
      </c>
      <c r="CE77" s="32">
        <f t="shared" si="71"/>
        <v>11.176525480792064</v>
      </c>
      <c r="CF77" s="32">
        <f t="shared" si="72"/>
        <v>1.029338408400204</v>
      </c>
      <c r="CG77" s="32">
        <f t="shared" si="73"/>
        <v>9.7414430039947142</v>
      </c>
      <c r="CH77" s="32">
        <f t="shared" si="74"/>
        <v>-4.1248351432218131</v>
      </c>
      <c r="CI77" s="32">
        <f t="shared" si="75"/>
        <v>0</v>
      </c>
      <c r="CJ77" s="32">
        <f t="shared" si="76"/>
        <v>0</v>
      </c>
      <c r="CK77" s="32">
        <f t="shared" si="77"/>
        <v>0.13501158780362529</v>
      </c>
      <c r="CL77" s="32">
        <f t="shared" si="78"/>
        <v>2.2754239656116837E-2</v>
      </c>
      <c r="CM77" s="32">
        <f t="shared" si="79"/>
        <v>0.84223417254025779</v>
      </c>
      <c r="CN77" s="32">
        <f t="shared" si="80"/>
        <v>2.2754239656116837E-2</v>
      </c>
      <c r="CO77" s="94">
        <f t="shared" ca="1" si="104"/>
        <v>1</v>
      </c>
      <c r="CP77" s="94">
        <f t="shared" ca="1" si="105"/>
        <v>1</v>
      </c>
      <c r="CQ77" s="94">
        <f t="shared" ca="1" si="106"/>
        <v>1</v>
      </c>
      <c r="CR77" s="32">
        <f t="shared" ca="1" si="81"/>
        <v>0.17156862745097795</v>
      </c>
      <c r="CS77" s="32">
        <f t="shared" ca="1" si="82"/>
        <v>1.5262307365411876</v>
      </c>
      <c r="CT77" s="32">
        <f t="shared" ca="1" si="83"/>
        <v>1.401678429762087</v>
      </c>
      <c r="CU77" s="32">
        <f t="shared" ca="1" si="84"/>
        <v>60730.658707946604</v>
      </c>
      <c r="CV77" s="32">
        <f t="shared" ca="1" si="85"/>
        <v>5</v>
      </c>
      <c r="CW77" s="32">
        <f t="shared" ca="1" si="86"/>
        <v>0.17156862745097795</v>
      </c>
      <c r="CX77" s="32">
        <f t="shared" ca="1" si="87"/>
        <v>1.5262307365411876</v>
      </c>
      <c r="CY77" s="32">
        <f t="shared" ca="1" si="88"/>
        <v>1.401678429762087</v>
      </c>
      <c r="CZ77" s="32">
        <f t="shared" ca="1" si="89"/>
        <v>60730.658707946604</v>
      </c>
      <c r="DA77" s="32">
        <f t="shared" ca="1" si="90"/>
        <v>5</v>
      </c>
      <c r="DB77" s="32">
        <f t="shared" ca="1" si="91"/>
        <v>0.17156862745097795</v>
      </c>
      <c r="DC77" s="32">
        <f t="shared" ca="1" si="92"/>
        <v>1.5262307365411876</v>
      </c>
      <c r="DD77" s="32">
        <f t="shared" ca="1" si="93"/>
        <v>1.401678429762087</v>
      </c>
      <c r="DE77" s="32">
        <f t="shared" ca="1" si="94"/>
        <v>60730.658707946604</v>
      </c>
      <c r="DF77" s="32">
        <f t="shared" ca="1" si="95"/>
        <v>5</v>
      </c>
      <c r="DG77" s="32" t="s">
        <v>335</v>
      </c>
      <c r="DH77" s="32">
        <v>169</v>
      </c>
      <c r="DI77" s="32">
        <v>2052.9</v>
      </c>
      <c r="DJ77" s="32">
        <f t="shared" ca="1" si="96"/>
        <v>8.1607783015408594E-2</v>
      </c>
      <c r="DK77" s="32">
        <f t="shared" ca="1" si="97"/>
        <v>0.30524614730823751</v>
      </c>
      <c r="DL77" s="32">
        <f t="shared" ca="1" si="98"/>
        <v>12146.131741589321</v>
      </c>
      <c r="DM77" s="32">
        <f t="shared" ca="1" si="99"/>
        <v>0.30524614730823751</v>
      </c>
      <c r="DN77" s="32">
        <f t="shared" si="100"/>
        <v>0.32</v>
      </c>
      <c r="DO77" s="32">
        <f t="shared" si="100"/>
        <v>0.3</v>
      </c>
      <c r="DP77" s="32">
        <f t="shared" si="101"/>
        <v>250</v>
      </c>
      <c r="DQ77" s="32">
        <f t="shared" ca="1" si="102"/>
        <v>0.30524614730823751</v>
      </c>
      <c r="DR77" s="32">
        <f t="shared" ca="1" si="107"/>
        <v>0.65305399469380132</v>
      </c>
      <c r="DS77" s="31">
        <f t="shared" ca="1" si="108"/>
        <v>5</v>
      </c>
      <c r="DT77" s="67"/>
    </row>
    <row r="78" spans="1:124">
      <c r="A78" s="131">
        <v>565</v>
      </c>
      <c r="B78" s="76">
        <v>570</v>
      </c>
      <c r="C78" s="76">
        <v>220</v>
      </c>
      <c r="D78" s="73">
        <v>0.28000000000000003</v>
      </c>
      <c r="E78" s="73">
        <v>0.27</v>
      </c>
      <c r="F78" s="76">
        <f>74.8*$L$9</f>
        <v>245.40682414698136</v>
      </c>
      <c r="G78" s="76">
        <v>32</v>
      </c>
      <c r="H78" s="76">
        <v>-45</v>
      </c>
      <c r="I78" s="34">
        <v>2.1</v>
      </c>
      <c r="J78" s="76">
        <v>32</v>
      </c>
      <c r="K78" s="76">
        <v>100</v>
      </c>
      <c r="L78" s="76">
        <v>1010</v>
      </c>
      <c r="M78" s="33">
        <f t="shared" si="8"/>
        <v>5</v>
      </c>
      <c r="N78" s="34">
        <f t="shared" si="9"/>
        <v>0</v>
      </c>
      <c r="O78" s="73">
        <f t="shared" ca="1" si="10"/>
        <v>0.27335868823956849</v>
      </c>
      <c r="P78" s="34">
        <f t="shared" ca="1" si="11"/>
        <v>0.10325976128968954</v>
      </c>
      <c r="Q78" s="74">
        <f t="shared" ca="1" si="12"/>
        <v>3913.2271415891655</v>
      </c>
      <c r="R78" s="34">
        <f t="shared" ca="1" si="13"/>
        <v>21.842622264311665</v>
      </c>
      <c r="S78" s="34">
        <f t="shared" ca="1" si="14"/>
        <v>2.8226952894080507E-2</v>
      </c>
      <c r="T78" s="93" t="str">
        <f t="shared" ca="1" si="103"/>
        <v xml:space="preserve">  OIL</v>
      </c>
      <c r="U78" s="74">
        <f t="shared" ca="1" si="15"/>
        <v>24993.405484760508</v>
      </c>
      <c r="V78" s="74">
        <f t="shared" ca="1" si="16"/>
        <v>2657.6266453690359</v>
      </c>
      <c r="W78" s="34">
        <f t="shared" ca="1" si="17"/>
        <v>0.81853186545817924</v>
      </c>
      <c r="X78" s="34">
        <f t="shared" si="18"/>
        <v>0</v>
      </c>
      <c r="Y78" s="34">
        <f t="shared" ca="1" si="19"/>
        <v>0.18146813454182076</v>
      </c>
      <c r="Z78" s="74">
        <f t="shared" si="20"/>
        <v>445</v>
      </c>
      <c r="AA78" s="31">
        <f t="shared" si="21"/>
        <v>0.2329219600725953</v>
      </c>
      <c r="AB78" s="32">
        <f t="shared" ca="1" si="22"/>
        <v>245.13173534548801</v>
      </c>
      <c r="AC78" s="32">
        <f t="shared" ca="1" si="23"/>
        <v>28.226952894080508</v>
      </c>
      <c r="AD78" s="75">
        <f t="shared" si="24"/>
        <v>0</v>
      </c>
      <c r="AE78" s="75">
        <f t="shared" ca="1" si="25"/>
        <v>1925.5994761651436</v>
      </c>
      <c r="AF78" s="75">
        <f t="shared" ca="1" si="26"/>
        <v>2198.9581644047121</v>
      </c>
      <c r="AG78" s="32">
        <f t="shared" ca="1" si="27"/>
        <v>0.11147630696823579</v>
      </c>
      <c r="AH78" s="32" t="str">
        <f t="shared" ca="1" si="28"/>
        <v xml:space="preserve"> TAR PAY</v>
      </c>
      <c r="AI78" s="32">
        <f t="shared" si="29"/>
        <v>24.416666666666664</v>
      </c>
      <c r="AJ78" s="32">
        <f t="shared" si="30"/>
        <v>0</v>
      </c>
      <c r="AK78" s="32">
        <f t="shared" si="31"/>
        <v>1</v>
      </c>
      <c r="AL78" s="32">
        <f t="shared" si="32"/>
        <v>0.1</v>
      </c>
      <c r="AM78" s="32">
        <f t="shared" si="33"/>
        <v>0.1666666666666668</v>
      </c>
      <c r="AN78" s="32">
        <f t="shared" si="34"/>
        <v>0</v>
      </c>
      <c r="AO78" s="32">
        <f t="shared" si="35"/>
        <v>2204.5</v>
      </c>
      <c r="AP78" s="32">
        <f t="shared" si="36"/>
        <v>0.27</v>
      </c>
      <c r="AQ78" s="32">
        <f t="shared" si="37"/>
        <v>0.30800000000000005</v>
      </c>
      <c r="AR78" s="32">
        <f t="shared" si="38"/>
        <v>0.14566037735849055</v>
      </c>
      <c r="AS78" s="32">
        <f t="shared" si="39"/>
        <v>0.27</v>
      </c>
      <c r="AT78" s="32">
        <f t="shared" si="40"/>
        <v>0.30800000000000005</v>
      </c>
      <c r="AU78" s="32">
        <f t="shared" si="41"/>
        <v>0.27</v>
      </c>
      <c r="AV78" s="32">
        <f t="shared" si="42"/>
        <v>0.29173913043478261</v>
      </c>
      <c r="AW78" s="32">
        <f t="shared" si="43"/>
        <v>0.29173913043478261</v>
      </c>
      <c r="AX78" s="32">
        <f t="shared" si="44"/>
        <v>0.30000000000000004</v>
      </c>
      <c r="AY78" s="32">
        <f t="shared" si="45"/>
        <v>0.25</v>
      </c>
      <c r="AZ78" s="32">
        <f t="shared" si="46"/>
        <v>0.27335868823956849</v>
      </c>
      <c r="BA78" s="32">
        <f t="shared" si="47"/>
        <v>2657.6266453690359</v>
      </c>
      <c r="BB78" s="32">
        <f t="shared" si="48"/>
        <v>0.27335868823956849</v>
      </c>
      <c r="BC78" s="32">
        <f t="shared" ca="1" si="49"/>
        <v>2660.8880880725092</v>
      </c>
      <c r="BD78" s="32">
        <f t="shared" ca="1" si="50"/>
        <v>0.27478557486805499</v>
      </c>
      <c r="BE78" s="32">
        <f t="shared" si="51"/>
        <v>0.34</v>
      </c>
      <c r="BF78" s="32">
        <f t="shared" ca="1" si="52"/>
        <v>0.27335868823956849</v>
      </c>
      <c r="BG78" s="32">
        <f t="shared" ca="1" si="53"/>
        <v>0.10325976128968954</v>
      </c>
      <c r="BH78" s="32">
        <f t="shared" ca="1" si="54"/>
        <v>2.3457672263528071</v>
      </c>
      <c r="BI78" s="32">
        <f t="shared" ca="1" si="55"/>
        <v>0</v>
      </c>
      <c r="BJ78" s="32">
        <f t="shared" ca="1" si="56"/>
        <v>0.10325976128968954</v>
      </c>
      <c r="BK78" s="32">
        <f t="shared" si="57"/>
        <v>1</v>
      </c>
      <c r="BL78" s="32">
        <f t="shared" si="58"/>
        <v>2.0395931840245436</v>
      </c>
      <c r="BM78" s="32">
        <f t="shared" si="59"/>
        <v>9.6285399252443629E-2</v>
      </c>
      <c r="BN78" s="32">
        <f t="shared" ca="1" si="60"/>
        <v>0.10272198273278055</v>
      </c>
      <c r="BO78" s="32">
        <f t="shared" ca="1" si="61"/>
        <v>0.1097459173264262</v>
      </c>
      <c r="BP78" s="32">
        <f t="shared" ca="1" si="62"/>
        <v>0.10325976128968954</v>
      </c>
      <c r="BQ78" s="32" t="e">
        <f>NA()</f>
        <v>#N/A</v>
      </c>
      <c r="BR78" s="32" t="e">
        <f>NA()</f>
        <v>#N/A</v>
      </c>
      <c r="BS78" s="32" t="e">
        <f>NA()</f>
        <v>#N/A</v>
      </c>
      <c r="BT78" s="32">
        <f t="shared" ca="1" si="63"/>
        <v>3913.2271415891655</v>
      </c>
      <c r="BU78" s="32">
        <f t="shared" ca="1" si="64"/>
        <v>1640.6231875474789</v>
      </c>
      <c r="BV78" s="32">
        <f t="shared" ca="1" si="65"/>
        <v>2433.1837872709839</v>
      </c>
      <c r="BW78" s="32">
        <f t="shared" ca="1" si="66"/>
        <v>10325.025698555257</v>
      </c>
      <c r="BX78" s="32" t="e">
        <f>NA()</f>
        <v>#N/A</v>
      </c>
      <c r="BY78" s="32">
        <f t="shared" si="7"/>
        <v>78</v>
      </c>
      <c r="BZ78" s="32" t="e">
        <f>NA()</f>
        <v>#N/A</v>
      </c>
      <c r="CA78" s="32">
        <f t="shared" ca="1" si="67"/>
        <v>0.96533343014074569</v>
      </c>
      <c r="CB78" s="32">
        <f t="shared" si="68"/>
        <v>0.77762698146356835</v>
      </c>
      <c r="CC78" s="32">
        <f t="shared" si="69"/>
        <v>1.0042237669645815</v>
      </c>
      <c r="CD78" s="32">
        <f t="shared" si="70"/>
        <v>0.62656641604010022</v>
      </c>
      <c r="CE78" s="32">
        <f t="shared" si="71"/>
        <v>7.2128281085024515</v>
      </c>
      <c r="CF78" s="32">
        <f t="shared" si="72"/>
        <v>1.0388819952664878</v>
      </c>
      <c r="CG78" s="32">
        <f t="shared" si="73"/>
        <v>5.9270755277054468</v>
      </c>
      <c r="CH78" s="32">
        <f t="shared" si="74"/>
        <v>-2.5307426426884816</v>
      </c>
      <c r="CI78" s="32">
        <f t="shared" si="75"/>
        <v>0</v>
      </c>
      <c r="CJ78" s="32">
        <f t="shared" si="76"/>
        <v>0</v>
      </c>
      <c r="CK78" s="32">
        <f t="shared" si="77"/>
        <v>0.18429842726813619</v>
      </c>
      <c r="CL78" s="32">
        <f t="shared" si="78"/>
        <v>-1.559663757750925E-2</v>
      </c>
      <c r="CM78" s="32">
        <f t="shared" si="79"/>
        <v>0.81853186545817924</v>
      </c>
      <c r="CN78" s="32">
        <f t="shared" si="80"/>
        <v>0</v>
      </c>
      <c r="CO78" s="94">
        <f t="shared" ca="1" si="104"/>
        <v>1</v>
      </c>
      <c r="CP78" s="94">
        <f t="shared" ca="1" si="105"/>
        <v>1</v>
      </c>
      <c r="CQ78" s="94">
        <f t="shared" ca="1" si="106"/>
        <v>1</v>
      </c>
      <c r="CR78" s="32">
        <f t="shared" ca="1" si="81"/>
        <v>0</v>
      </c>
      <c r="CS78" s="32">
        <f t="shared" ca="1" si="82"/>
        <v>1.3667934411978424</v>
      </c>
      <c r="CT78" s="32">
        <f t="shared" ca="1" si="83"/>
        <v>1.22565867672744</v>
      </c>
      <c r="CU78" s="32">
        <f t="shared" ca="1" si="84"/>
        <v>19566.135707945828</v>
      </c>
      <c r="CV78" s="32">
        <f t="shared" ca="1" si="85"/>
        <v>5</v>
      </c>
      <c r="CW78" s="32">
        <f t="shared" ca="1" si="86"/>
        <v>0</v>
      </c>
      <c r="CX78" s="32">
        <f t="shared" ca="1" si="87"/>
        <v>1.3667934411978424</v>
      </c>
      <c r="CY78" s="32">
        <f t="shared" ca="1" si="88"/>
        <v>1.22565867672744</v>
      </c>
      <c r="CZ78" s="32">
        <f t="shared" ca="1" si="89"/>
        <v>19566.135707945828</v>
      </c>
      <c r="DA78" s="32">
        <f t="shared" ca="1" si="90"/>
        <v>5</v>
      </c>
      <c r="DB78" s="32">
        <f t="shared" ca="1" si="91"/>
        <v>0</v>
      </c>
      <c r="DC78" s="32">
        <f t="shared" ca="1" si="92"/>
        <v>1.3667934411978424</v>
      </c>
      <c r="DD78" s="32">
        <f t="shared" ca="1" si="93"/>
        <v>1.22565867672744</v>
      </c>
      <c r="DE78" s="32">
        <f t="shared" ca="1" si="94"/>
        <v>19566.135707945828</v>
      </c>
      <c r="DF78" s="32">
        <f t="shared" ca="1" si="95"/>
        <v>5</v>
      </c>
      <c r="DG78" s="32" t="s">
        <v>335</v>
      </c>
      <c r="DH78" s="32">
        <v>169</v>
      </c>
      <c r="DI78" s="32">
        <v>2052.9</v>
      </c>
      <c r="DJ78" s="32">
        <f t="shared" ca="1" si="96"/>
        <v>0.10325976128968954</v>
      </c>
      <c r="DK78" s="32">
        <f t="shared" ca="1" si="97"/>
        <v>0.27335868823956849</v>
      </c>
      <c r="DL78" s="32">
        <f t="shared" ca="1" si="98"/>
        <v>3913.2271415891655</v>
      </c>
      <c r="DM78" s="32">
        <f t="shared" ca="1" si="99"/>
        <v>0.27335868823956849</v>
      </c>
      <c r="DN78" s="32">
        <f t="shared" si="100"/>
        <v>0.28000000000000003</v>
      </c>
      <c r="DO78" s="32">
        <f t="shared" si="100"/>
        <v>0.27</v>
      </c>
      <c r="DP78" s="32">
        <f t="shared" si="101"/>
        <v>220</v>
      </c>
      <c r="DQ78" s="32">
        <f t="shared" ca="1" si="102"/>
        <v>0.27335868823956849</v>
      </c>
      <c r="DR78" s="32">
        <f t="shared" ca="1" si="107"/>
        <v>0.55738153484117903</v>
      </c>
      <c r="DS78" s="31">
        <f t="shared" ca="1" si="108"/>
        <v>5</v>
      </c>
      <c r="DT78" s="67"/>
    </row>
    <row r="79" spans="1:124">
      <c r="A79" s="131">
        <v>570</v>
      </c>
      <c r="B79" s="76">
        <v>575</v>
      </c>
      <c r="C79" s="76">
        <v>3</v>
      </c>
      <c r="D79" s="73">
        <v>0.28000000000000003</v>
      </c>
      <c r="E79" s="73">
        <v>0.27</v>
      </c>
      <c r="F79" s="76">
        <f>73.1*$L$9</f>
        <v>239.82939632545904</v>
      </c>
      <c r="G79" s="76">
        <v>32.5</v>
      </c>
      <c r="H79" s="76">
        <v>-44.5</v>
      </c>
      <c r="I79" s="34">
        <v>2.1</v>
      </c>
      <c r="J79" s="76">
        <v>32</v>
      </c>
      <c r="K79" s="76">
        <v>100</v>
      </c>
      <c r="L79" s="76">
        <v>1010</v>
      </c>
      <c r="M79" s="33">
        <f t="shared" si="8"/>
        <v>5</v>
      </c>
      <c r="N79" s="34">
        <f t="shared" si="9"/>
        <v>7.3529411764705881E-3</v>
      </c>
      <c r="O79" s="73">
        <f t="shared" ca="1" si="10"/>
        <v>0.27256224008405633</v>
      </c>
      <c r="P79" s="34">
        <f t="shared" ca="1" si="11"/>
        <v>0.88211317342607509</v>
      </c>
      <c r="Q79" s="74">
        <f t="shared" ca="1" si="12"/>
        <v>3334.8225520999463</v>
      </c>
      <c r="R79" s="34">
        <f t="shared" ca="1" si="13"/>
        <v>0.29884346506798459</v>
      </c>
      <c r="S79" s="34">
        <f t="shared" ca="1" si="14"/>
        <v>0.24043074255666669</v>
      </c>
      <c r="T79" s="93" t="str">
        <f t="shared" ca="1" si="103"/>
        <v xml:space="preserve">  WET</v>
      </c>
      <c r="U79" s="74">
        <f t="shared" ca="1" si="15"/>
        <v>5427.2697768146791</v>
      </c>
      <c r="V79" s="74">
        <f t="shared" ca="1" si="16"/>
        <v>2655.8711085537029</v>
      </c>
      <c r="W79" s="34">
        <f t="shared" ca="1" si="17"/>
        <v>0.82708159495786582</v>
      </c>
      <c r="X79" s="34">
        <f t="shared" si="18"/>
        <v>0</v>
      </c>
      <c r="Y79" s="34">
        <f t="shared" ca="1" si="19"/>
        <v>0.17291840504213418</v>
      </c>
      <c r="Z79" s="74">
        <f t="shared" si="20"/>
        <v>440</v>
      </c>
      <c r="AA79" s="31">
        <f t="shared" si="21"/>
        <v>0.23250000000000001</v>
      </c>
      <c r="AB79" s="32">
        <f t="shared" ca="1" si="22"/>
        <v>32.131497527389634</v>
      </c>
      <c r="AC79" s="32">
        <f t="shared" ca="1" si="23"/>
        <v>240.4307425566667</v>
      </c>
      <c r="AD79" s="75">
        <f t="shared" si="24"/>
        <v>19.485294117647058</v>
      </c>
      <c r="AE79" s="75">
        <f t="shared" ca="1" si="25"/>
        <v>1908.2247696596037</v>
      </c>
      <c r="AF79" s="75">
        <f t="shared" ca="1" si="26"/>
        <v>2200.2723038613071</v>
      </c>
      <c r="AG79" s="32">
        <f t="shared" ca="1" si="27"/>
        <v>1.4603418618232547E-2</v>
      </c>
      <c r="AH79" s="32" t="str">
        <f t="shared" ca="1" si="28"/>
        <v xml:space="preserve">    NO</v>
      </c>
      <c r="AI79" s="32">
        <f t="shared" si="29"/>
        <v>24.5</v>
      </c>
      <c r="AJ79" s="32">
        <f t="shared" si="30"/>
        <v>7.3529411764705881E-3</v>
      </c>
      <c r="AK79" s="32">
        <f t="shared" si="31"/>
        <v>1</v>
      </c>
      <c r="AL79" s="32">
        <f t="shared" si="32"/>
        <v>0.11</v>
      </c>
      <c r="AM79" s="32">
        <f t="shared" si="33"/>
        <v>0.1666666666666668</v>
      </c>
      <c r="AN79" s="32">
        <f t="shared" si="34"/>
        <v>7.3529411764705881E-3</v>
      </c>
      <c r="AO79" s="32">
        <f t="shared" si="35"/>
        <v>2204.5</v>
      </c>
      <c r="AP79" s="32">
        <f t="shared" si="36"/>
        <v>0.27</v>
      </c>
      <c r="AQ79" s="32">
        <f t="shared" si="37"/>
        <v>0.30800000000000005</v>
      </c>
      <c r="AR79" s="32">
        <f t="shared" si="38"/>
        <v>0.13202552719200883</v>
      </c>
      <c r="AS79" s="32">
        <f t="shared" si="39"/>
        <v>0.27</v>
      </c>
      <c r="AT79" s="32">
        <f t="shared" si="40"/>
        <v>0.30632352941176477</v>
      </c>
      <c r="AU79" s="32">
        <f t="shared" si="41"/>
        <v>0.27</v>
      </c>
      <c r="AV79" s="32">
        <f t="shared" si="42"/>
        <v>0.29173913043478261</v>
      </c>
      <c r="AW79" s="32">
        <f t="shared" si="43"/>
        <v>0.29089783281733744</v>
      </c>
      <c r="AX79" s="32">
        <f t="shared" si="44"/>
        <v>0.30000000000000004</v>
      </c>
      <c r="AY79" s="32">
        <f t="shared" si="45"/>
        <v>0.24852941176470592</v>
      </c>
      <c r="AZ79" s="32">
        <f t="shared" si="46"/>
        <v>0.27256224008405633</v>
      </c>
      <c r="BA79" s="32">
        <f t="shared" si="47"/>
        <v>2655.8711085537029</v>
      </c>
      <c r="BB79" s="32">
        <f t="shared" si="48"/>
        <v>0.27256224008405633</v>
      </c>
      <c r="BC79" s="32">
        <f t="shared" ca="1" si="49"/>
        <v>2660.2988167708918</v>
      </c>
      <c r="BD79" s="32">
        <f t="shared" ca="1" si="50"/>
        <v>0.27452818261797779</v>
      </c>
      <c r="BE79" s="32">
        <f t="shared" si="51"/>
        <v>0.33750000000000002</v>
      </c>
      <c r="BF79" s="32">
        <f t="shared" ca="1" si="52"/>
        <v>0.27256224008405633</v>
      </c>
      <c r="BG79" s="32">
        <f t="shared" ca="1" si="53"/>
        <v>0.88623688790590105</v>
      </c>
      <c r="BH79" s="32">
        <f t="shared" ca="1" si="54"/>
        <v>2.338922115452061</v>
      </c>
      <c r="BI79" s="32">
        <f t="shared" ca="1" si="55"/>
        <v>8.5989783656325767E-4</v>
      </c>
      <c r="BJ79" s="32">
        <f t="shared" ca="1" si="56"/>
        <v>0.88211317342607509</v>
      </c>
      <c r="BK79" s="32">
        <f t="shared" si="57"/>
        <v>1.0015113599252932</v>
      </c>
      <c r="BL79" s="32">
        <f t="shared" si="58"/>
        <v>2.0389752438915858</v>
      </c>
      <c r="BM79" s="32">
        <f t="shared" si="59"/>
        <v>0.82441398255398879</v>
      </c>
      <c r="BN79" s="32">
        <f t="shared" ca="1" si="60"/>
        <v>0.87900884514572075</v>
      </c>
      <c r="BO79" s="32">
        <f t="shared" ca="1" si="61"/>
        <v>0.1108819116430137</v>
      </c>
      <c r="BP79" s="32">
        <f t="shared" ca="1" si="62"/>
        <v>0.1108819116430137</v>
      </c>
      <c r="BQ79" s="32" t="e">
        <f>NA()</f>
        <v>#N/A</v>
      </c>
      <c r="BR79" s="32" t="e">
        <f>NA()</f>
        <v>#N/A</v>
      </c>
      <c r="BS79" s="32" t="e">
        <f>NA()</f>
        <v>#N/A</v>
      </c>
      <c r="BT79" s="32">
        <f t="shared" ca="1" si="63"/>
        <v>3334.8225520999463</v>
      </c>
      <c r="BU79" s="32">
        <f t="shared" ca="1" si="64"/>
        <v>1404.6690875765375</v>
      </c>
      <c r="BV79" s="32">
        <f t="shared" ca="1" si="65"/>
        <v>2066.2340824578446</v>
      </c>
      <c r="BW79" s="32">
        <f t="shared" ca="1" si="66"/>
        <v>9916.7481044498909</v>
      </c>
      <c r="BX79" s="32" t="e">
        <f>NA()</f>
        <v>#N/A</v>
      </c>
      <c r="BY79" s="32">
        <f t="shared" si="7"/>
        <v>79</v>
      </c>
      <c r="BZ79" s="32" t="e">
        <f>NA()</f>
        <v>#N/A</v>
      </c>
      <c r="CA79" s="32">
        <f t="shared" ca="1" si="67"/>
        <v>0.97331314293771398</v>
      </c>
      <c r="CB79" s="32">
        <f t="shared" si="68"/>
        <v>0.79551013796362813</v>
      </c>
      <c r="CC79" s="32">
        <f t="shared" si="69"/>
        <v>1.0202506961076387</v>
      </c>
      <c r="CD79" s="32">
        <f t="shared" si="70"/>
        <v>0.62779497764017889</v>
      </c>
      <c r="CE79" s="32">
        <f t="shared" si="71"/>
        <v>7.7077376046950787</v>
      </c>
      <c r="CF79" s="32">
        <f t="shared" si="72"/>
        <v>1.052390875267353</v>
      </c>
      <c r="CG79" s="32">
        <f t="shared" si="73"/>
        <v>6.3892269230886187</v>
      </c>
      <c r="CH79" s="32">
        <f t="shared" si="74"/>
        <v>-2.7385491775654129</v>
      </c>
      <c r="CI79" s="32">
        <f t="shared" si="75"/>
        <v>0</v>
      </c>
      <c r="CJ79" s="32">
        <f t="shared" si="76"/>
        <v>0</v>
      </c>
      <c r="CK79" s="32">
        <f t="shared" si="77"/>
        <v>0.17663372596626409</v>
      </c>
      <c r="CL79" s="32">
        <f t="shared" si="78"/>
        <v>-2.1485977292149027E-2</v>
      </c>
      <c r="CM79" s="32">
        <f t="shared" si="79"/>
        <v>0.82708159495786582</v>
      </c>
      <c r="CN79" s="32">
        <f t="shared" si="80"/>
        <v>0</v>
      </c>
      <c r="CO79" s="94">
        <f t="shared" ca="1" si="104"/>
        <v>1</v>
      </c>
      <c r="CP79" s="94">
        <f t="shared" ca="1" si="105"/>
        <v>0</v>
      </c>
      <c r="CQ79" s="94">
        <f t="shared" ca="1" si="106"/>
        <v>0</v>
      </c>
      <c r="CR79" s="32">
        <f t="shared" ca="1" si="81"/>
        <v>3.6764705882352942E-2</v>
      </c>
      <c r="CS79" s="32">
        <f t="shared" ca="1" si="82"/>
        <v>1.3628112004202817</v>
      </c>
      <c r="CT79" s="32">
        <f t="shared" ca="1" si="83"/>
        <v>0.16065748763694818</v>
      </c>
      <c r="CU79" s="32">
        <f t="shared" ca="1" si="84"/>
        <v>16674.112760499731</v>
      </c>
      <c r="CV79" s="32">
        <f t="shared" ca="1" si="85"/>
        <v>5</v>
      </c>
      <c r="CW79" s="32">
        <f t="shared" ca="1" si="86"/>
        <v>0</v>
      </c>
      <c r="CX79" s="32">
        <f t="shared" ca="1" si="87"/>
        <v>0</v>
      </c>
      <c r="CY79" s="32">
        <f t="shared" ca="1" si="88"/>
        <v>0</v>
      </c>
      <c r="CZ79" s="32">
        <f t="shared" ca="1" si="89"/>
        <v>0</v>
      </c>
      <c r="DA79" s="32">
        <f t="shared" ca="1" si="90"/>
        <v>0</v>
      </c>
      <c r="DB79" s="32">
        <f t="shared" ca="1" si="91"/>
        <v>0</v>
      </c>
      <c r="DC79" s="32">
        <f t="shared" ca="1" si="92"/>
        <v>0</v>
      </c>
      <c r="DD79" s="32">
        <f t="shared" ca="1" si="93"/>
        <v>0</v>
      </c>
      <c r="DE79" s="32">
        <f t="shared" ca="1" si="94"/>
        <v>0</v>
      </c>
      <c r="DF79" s="32">
        <f t="shared" ca="1" si="95"/>
        <v>0</v>
      </c>
      <c r="DG79" s="32" t="s">
        <v>335</v>
      </c>
      <c r="DH79" s="32">
        <v>169</v>
      </c>
      <c r="DI79" s="32">
        <v>2052.9</v>
      </c>
      <c r="DJ79" s="32">
        <f t="shared" ca="1" si="96"/>
        <v>0.88211317342607509</v>
      </c>
      <c r="DK79" s="32">
        <f t="shared" ca="1" si="97"/>
        <v>0.27256224008405633</v>
      </c>
      <c r="DL79" s="32">
        <f t="shared" ca="1" si="98"/>
        <v>3334.8225520999463</v>
      </c>
      <c r="DM79" s="32">
        <f t="shared" ca="1" si="99"/>
        <v>0.27256224008405633</v>
      </c>
      <c r="DN79" s="32">
        <f t="shared" si="100"/>
        <v>0.28000000000000003</v>
      </c>
      <c r="DO79" s="32">
        <f t="shared" si="100"/>
        <v>0.27</v>
      </c>
      <c r="DP79" s="32">
        <f t="shared" si="101"/>
        <v>3</v>
      </c>
      <c r="DQ79" s="32">
        <f t="shared" ca="1" si="102"/>
        <v>0.27256224008405633</v>
      </c>
      <c r="DR79" s="32">
        <f t="shared" ca="1" si="107"/>
        <v>0</v>
      </c>
      <c r="DS79" s="31">
        <f t="shared" ca="1" si="108"/>
        <v>0</v>
      </c>
      <c r="DT79" s="67"/>
    </row>
    <row r="80" spans="1:124" ht="13.5" thickBot="1">
      <c r="A80" s="132">
        <v>575</v>
      </c>
      <c r="B80" s="76">
        <v>580</v>
      </c>
      <c r="C80" s="76">
        <v>400</v>
      </c>
      <c r="D80" s="73">
        <v>0.25</v>
      </c>
      <c r="E80" s="73">
        <v>0.18</v>
      </c>
      <c r="F80" s="76">
        <f>66.4*$L$9</f>
        <v>217.84776902887117</v>
      </c>
      <c r="G80" s="76">
        <v>36.8333333333333</v>
      </c>
      <c r="H80" s="76">
        <v>-40</v>
      </c>
      <c r="I80" s="34">
        <v>5.0999999999999996</v>
      </c>
      <c r="J80" s="76">
        <v>32</v>
      </c>
      <c r="K80" s="76">
        <v>100</v>
      </c>
      <c r="L80" s="76">
        <v>1010</v>
      </c>
      <c r="M80" s="33">
        <f t="shared" si="8"/>
        <v>5</v>
      </c>
      <c r="N80" s="34">
        <f t="shared" si="9"/>
        <v>7.1078431372548531E-2</v>
      </c>
      <c r="O80" s="73">
        <f t="shared" ca="1" si="10"/>
        <v>0.20771202272849926</v>
      </c>
      <c r="P80" s="34">
        <f t="shared" ca="1" si="11"/>
        <v>8.6015991968384789E-2</v>
      </c>
      <c r="Q80" s="74">
        <f t="shared" ca="1" si="12"/>
        <v>1085.4539553629347</v>
      </c>
      <c r="R80" s="34">
        <f t="shared" ca="1" si="13"/>
        <v>-12.855138705072727</v>
      </c>
      <c r="S80" s="34">
        <f t="shared" ca="1" si="14"/>
        <v>1.7866555678751551E-2</v>
      </c>
      <c r="T80" s="93" t="str">
        <f t="shared" ca="1" si="103"/>
        <v xml:space="preserve">  OIL</v>
      </c>
      <c r="U80" s="74">
        <f t="shared" ca="1" si="15"/>
        <v>5427.2697768146791</v>
      </c>
      <c r="V80" s="74">
        <f t="shared" ca="1" si="16"/>
        <v>2713.4002111619725</v>
      </c>
      <c r="W80" s="34">
        <f t="shared" ca="1" si="17"/>
        <v>0</v>
      </c>
      <c r="X80" s="34">
        <f t="shared" si="18"/>
        <v>0</v>
      </c>
      <c r="Y80" s="34">
        <f t="shared" ca="1" si="19"/>
        <v>1</v>
      </c>
      <c r="Z80" s="74">
        <f t="shared" si="20"/>
        <v>435</v>
      </c>
      <c r="AA80" s="31">
        <f t="shared" si="21"/>
        <v>0.23207956600361662</v>
      </c>
      <c r="AB80" s="32">
        <f t="shared" ca="1" si="22"/>
        <v>189.8454670497477</v>
      </c>
      <c r="AC80" s="32">
        <f t="shared" ca="1" si="23"/>
        <v>17.866555678751549</v>
      </c>
      <c r="AD80" s="75">
        <f t="shared" si="24"/>
        <v>188.35784313725361</v>
      </c>
      <c r="AE80" s="75">
        <f t="shared" ca="1" si="25"/>
        <v>1911.2052966322235</v>
      </c>
      <c r="AF80" s="75">
        <f t="shared" ca="1" si="26"/>
        <v>2307.2751624979765</v>
      </c>
      <c r="AG80" s="32">
        <f t="shared" ca="1" si="27"/>
        <v>8.2281242452335465E-2</v>
      </c>
      <c r="AH80" s="32" t="str">
        <f t="shared" ca="1" si="28"/>
        <v xml:space="preserve"> TAR PAY</v>
      </c>
      <c r="AI80" s="32">
        <f t="shared" si="29"/>
        <v>24.583333333333336</v>
      </c>
      <c r="AJ80" s="32">
        <f t="shared" si="30"/>
        <v>7.1078431372548531E-2</v>
      </c>
      <c r="AK80" s="32">
        <f t="shared" si="31"/>
        <v>1</v>
      </c>
      <c r="AL80" s="32">
        <f t="shared" si="32"/>
        <v>0.2</v>
      </c>
      <c r="AM80" s="32">
        <f t="shared" si="33"/>
        <v>0.42982456140350889</v>
      </c>
      <c r="AN80" s="32">
        <f t="shared" si="34"/>
        <v>7.1078431372548531E-2</v>
      </c>
      <c r="AO80" s="32">
        <f t="shared" si="35"/>
        <v>2353</v>
      </c>
      <c r="AP80" s="32">
        <f t="shared" si="36"/>
        <v>0.18</v>
      </c>
      <c r="AQ80" s="32">
        <f t="shared" si="37"/>
        <v>0.27800000000000002</v>
      </c>
      <c r="AR80" s="32">
        <f t="shared" si="38"/>
        <v>7.4485756566777736E-2</v>
      </c>
      <c r="AS80" s="32">
        <f t="shared" si="39"/>
        <v>0.18</v>
      </c>
      <c r="AT80" s="32">
        <f t="shared" si="40"/>
        <v>0.26179411764705895</v>
      </c>
      <c r="AU80" s="32">
        <f t="shared" si="41"/>
        <v>0.18</v>
      </c>
      <c r="AV80" s="32">
        <f t="shared" si="42"/>
        <v>0.23606407322654457</v>
      </c>
      <c r="AW80" s="32">
        <f t="shared" si="43"/>
        <v>0.22793152959124155</v>
      </c>
      <c r="AX80" s="32">
        <f t="shared" si="44"/>
        <v>0.21</v>
      </c>
      <c r="AY80" s="32">
        <f t="shared" si="45"/>
        <v>0.2057843137254903</v>
      </c>
      <c r="AZ80" s="32">
        <f t="shared" si="46"/>
        <v>0.20771202272849926</v>
      </c>
      <c r="BA80" s="32">
        <f t="shared" si="47"/>
        <v>2713.4002111619725</v>
      </c>
      <c r="BB80" s="32">
        <f t="shared" si="48"/>
        <v>0.20771202272849926</v>
      </c>
      <c r="BC80" s="32">
        <f t="shared" ca="1" si="49"/>
        <v>2705.7352941176468</v>
      </c>
      <c r="BD80" s="32">
        <f t="shared" ca="1" si="50"/>
        <v>0.20679368911113016</v>
      </c>
      <c r="BE80" s="32">
        <f t="shared" si="51"/>
        <v>0.31583333333333352</v>
      </c>
      <c r="BF80" s="32">
        <f t="shared" ca="1" si="52"/>
        <v>0.20771202272849926</v>
      </c>
      <c r="BG80" s="32">
        <f t="shared" ca="1" si="53"/>
        <v>0.10268058424999933</v>
      </c>
      <c r="BH80" s="32">
        <f t="shared" ca="1" si="54"/>
        <v>3.9175603948511188</v>
      </c>
      <c r="BI80" s="32">
        <f t="shared" ca="1" si="55"/>
        <v>1.3922702383661969E-2</v>
      </c>
      <c r="BJ80" s="32">
        <f t="shared" ca="1" si="56"/>
        <v>8.6015991968384789E-2</v>
      </c>
      <c r="BK80" s="32">
        <f t="shared" si="57"/>
        <v>1.0179591187152301</v>
      </c>
      <c r="BL80" s="32">
        <f t="shared" si="58"/>
        <v>3.2609879519015497</v>
      </c>
      <c r="BM80" s="32">
        <f t="shared" si="59"/>
        <v>9.0291028788877334E-2</v>
      </c>
      <c r="BN80" s="32">
        <f t="shared" ca="1" si="60"/>
        <v>6.343196232508827E-2</v>
      </c>
      <c r="BO80" s="32">
        <f t="shared" ca="1" si="61"/>
        <v>0.15548216269641194</v>
      </c>
      <c r="BP80" s="32">
        <f t="shared" ca="1" si="62"/>
        <v>8.6015991968384789E-2</v>
      </c>
      <c r="BQ80" s="32" t="e">
        <f>NA()</f>
        <v>#N/A</v>
      </c>
      <c r="BR80" s="32" t="e">
        <f>NA()</f>
        <v>#N/A</v>
      </c>
      <c r="BS80" s="32" t="e">
        <f>NA()</f>
        <v>#N/A</v>
      </c>
      <c r="BT80" s="32">
        <f t="shared" ca="1" si="63"/>
        <v>1085.4539553629347</v>
      </c>
      <c r="BU80" s="32">
        <f t="shared" ca="1" si="64"/>
        <v>706.18613840782746</v>
      </c>
      <c r="BV80" s="32">
        <f t="shared" ca="1" si="65"/>
        <v>1388.1438729788756</v>
      </c>
      <c r="BW80" s="32">
        <f t="shared" ca="1" si="66"/>
        <v>371.2483225630931</v>
      </c>
      <c r="BX80" s="32" t="e">
        <f>NA()</f>
        <v>#N/A</v>
      </c>
      <c r="BY80" s="32">
        <f t="shared" si="7"/>
        <v>80</v>
      </c>
      <c r="BZ80" s="32" t="e">
        <f>NA()</f>
        <v>#N/A</v>
      </c>
      <c r="CA80" s="32">
        <f t="shared" ca="1" si="67"/>
        <v>0.71181722199103414</v>
      </c>
      <c r="CB80" s="32">
        <f t="shared" si="68"/>
        <v>-1.3015604641287999</v>
      </c>
      <c r="CC80" s="32">
        <f t="shared" si="69"/>
        <v>0.9639488789033559</v>
      </c>
      <c r="CD80" s="32">
        <f t="shared" si="70"/>
        <v>0.58791597177771082</v>
      </c>
      <c r="CE80" s="32">
        <f t="shared" si="71"/>
        <v>5.9691447814172882</v>
      </c>
      <c r="CF80" s="32">
        <f t="shared" si="72"/>
        <v>0.61389377042916038</v>
      </c>
      <c r="CG80" s="32">
        <f t="shared" si="73"/>
        <v>5.1411166585824049</v>
      </c>
      <c r="CH80" s="32">
        <f t="shared" si="74"/>
        <v>-1.7753216492277053</v>
      </c>
      <c r="CI80" s="32">
        <f t="shared" si="75"/>
        <v>0</v>
      </c>
      <c r="CJ80" s="32">
        <f t="shared" si="76"/>
        <v>0</v>
      </c>
      <c r="CK80" s="32">
        <f t="shared" si="77"/>
        <v>1.0690036027407677</v>
      </c>
      <c r="CL80" s="32">
        <f t="shared" si="78"/>
        <v>-3.3636591021534643E-3</v>
      </c>
      <c r="CM80" s="32">
        <f t="shared" si="79"/>
        <v>0</v>
      </c>
      <c r="CN80" s="32">
        <f t="shared" si="80"/>
        <v>0</v>
      </c>
      <c r="CO80" s="94">
        <f t="shared" ca="1" si="104"/>
        <v>1</v>
      </c>
      <c r="CP80" s="94">
        <f t="shared" ca="1" si="105"/>
        <v>1</v>
      </c>
      <c r="CQ80" s="94">
        <f t="shared" ca="1" si="106"/>
        <v>1</v>
      </c>
      <c r="CR80" s="32">
        <f t="shared" ca="1" si="81"/>
        <v>0.35539215686274267</v>
      </c>
      <c r="CS80" s="32">
        <f t="shared" ca="1" si="82"/>
        <v>1.0385601136424962</v>
      </c>
      <c r="CT80" s="32">
        <f t="shared" ca="1" si="83"/>
        <v>0.94922733524873848</v>
      </c>
      <c r="CU80" s="32">
        <f t="shared" ca="1" si="84"/>
        <v>5427.2697768146736</v>
      </c>
      <c r="CV80" s="32">
        <f t="shared" ca="1" si="85"/>
        <v>5</v>
      </c>
      <c r="CW80" s="32">
        <f t="shared" ca="1" si="86"/>
        <v>0.35539215686274267</v>
      </c>
      <c r="CX80" s="32">
        <f t="shared" ca="1" si="87"/>
        <v>1.0385601136424962</v>
      </c>
      <c r="CY80" s="32">
        <f t="shared" ca="1" si="88"/>
        <v>0.94922733524873848</v>
      </c>
      <c r="CZ80" s="32">
        <f t="shared" ca="1" si="89"/>
        <v>5427.2697768146736</v>
      </c>
      <c r="DA80" s="32">
        <f t="shared" ca="1" si="90"/>
        <v>5</v>
      </c>
      <c r="DB80" s="32">
        <f t="shared" ca="1" si="91"/>
        <v>0.35539215686274267</v>
      </c>
      <c r="DC80" s="32">
        <f t="shared" ca="1" si="92"/>
        <v>1.0385601136424962</v>
      </c>
      <c r="DD80" s="32">
        <f t="shared" ca="1" si="93"/>
        <v>0.94922733524873848</v>
      </c>
      <c r="DE80" s="32">
        <f t="shared" ca="1" si="94"/>
        <v>5427.2697768146736</v>
      </c>
      <c r="DF80" s="32">
        <f t="shared" ca="1" si="95"/>
        <v>5</v>
      </c>
      <c r="DG80" s="32" t="s">
        <v>335</v>
      </c>
      <c r="DH80" s="32">
        <v>169</v>
      </c>
      <c r="DI80" s="32">
        <v>2052.9</v>
      </c>
      <c r="DJ80" s="32">
        <f t="shared" ca="1" si="96"/>
        <v>8.6015991968384789E-2</v>
      </c>
      <c r="DK80" s="32">
        <f t="shared" ca="1" si="97"/>
        <v>0.20771202272849926</v>
      </c>
      <c r="DL80" s="32">
        <f t="shared" ca="1" si="98"/>
        <v>1085.4539553629347</v>
      </c>
      <c r="DM80" s="32">
        <f t="shared" ca="1" si="99"/>
        <v>0.20771202272849926</v>
      </c>
      <c r="DN80" s="32">
        <f t="shared" si="100"/>
        <v>0.25</v>
      </c>
      <c r="DO80" s="32">
        <f t="shared" si="100"/>
        <v>0.18</v>
      </c>
      <c r="DP80" s="32">
        <f t="shared" si="101"/>
        <v>400</v>
      </c>
      <c r="DQ80" s="32">
        <f t="shared" ca="1" si="102"/>
        <v>0.20771202272849926</v>
      </c>
      <c r="DR80" s="32">
        <f t="shared" ca="1" si="107"/>
        <v>0.41140621226167734</v>
      </c>
      <c r="DS80" s="31">
        <f t="shared" ca="1" si="108"/>
        <v>5</v>
      </c>
      <c r="DT80" s="67"/>
    </row>
    <row r="81" spans="1:124" ht="14.25" thickTop="1" thickBot="1">
      <c r="A81" s="77"/>
      <c r="B81" s="78"/>
      <c r="C81" s="78"/>
      <c r="D81" s="78"/>
      <c r="E81" s="78"/>
      <c r="F81" s="78"/>
      <c r="G81" s="78"/>
      <c r="H81" s="78"/>
      <c r="I81" s="78"/>
      <c r="J81" s="78"/>
      <c r="K81" s="78" t="s">
        <v>507</v>
      </c>
      <c r="L81" s="78"/>
      <c r="M81" s="77"/>
      <c r="N81" s="78"/>
      <c r="O81" s="79" t="s">
        <v>464</v>
      </c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32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>
        <f t="shared" si="7"/>
        <v>81</v>
      </c>
      <c r="BZ81" s="26"/>
      <c r="CA81" s="26"/>
      <c r="CB81" s="26"/>
      <c r="CC81" s="26"/>
      <c r="CD81" s="26"/>
      <c r="CE81" s="26"/>
      <c r="CF81" s="26"/>
      <c r="CG81" s="26"/>
      <c r="CH81" s="26"/>
      <c r="CI81" s="26"/>
      <c r="CJ81" s="26"/>
      <c r="CK81" s="26"/>
      <c r="CL81" s="26"/>
      <c r="CM81" s="26"/>
      <c r="CN81" s="26"/>
      <c r="CO81" s="26"/>
      <c r="CP81" s="26"/>
      <c r="CQ81" s="26"/>
      <c r="CR81" s="26"/>
      <c r="CS81" s="26"/>
      <c r="CT81" s="26"/>
      <c r="CU81" s="26"/>
      <c r="CV81" s="26"/>
      <c r="CW81" s="26"/>
      <c r="CX81" s="26"/>
      <c r="CY81" s="26"/>
      <c r="CZ81" s="26"/>
      <c r="DA81" s="26"/>
      <c r="DB81" s="26"/>
      <c r="DC81" s="26"/>
      <c r="DD81" s="26"/>
      <c r="DE81" s="26"/>
      <c r="DF81" s="26"/>
      <c r="DG81" s="26" t="s">
        <v>335</v>
      </c>
      <c r="DH81" s="26"/>
      <c r="DI81" s="26"/>
      <c r="DJ81" s="37"/>
      <c r="DK81" s="80"/>
      <c r="DL81" s="80"/>
      <c r="DM81" s="80"/>
      <c r="DN81" s="80"/>
      <c r="DO81" s="80"/>
      <c r="DP81" s="80"/>
      <c r="DQ81" s="80"/>
      <c r="DR81" s="80"/>
      <c r="DS81" s="35"/>
      <c r="DT81" s="35"/>
    </row>
    <row r="82" spans="1:124" ht="13.5" thickTop="1">
      <c r="A82" s="81"/>
      <c r="B82" s="82"/>
      <c r="C82" s="81" t="s">
        <v>465</v>
      </c>
      <c r="D82" s="82"/>
      <c r="E82" s="82"/>
      <c r="F82" s="82"/>
      <c r="G82" s="82"/>
      <c r="H82" s="82"/>
      <c r="I82" s="82"/>
      <c r="J82" s="82"/>
      <c r="K82" s="82"/>
      <c r="L82" s="82"/>
      <c r="M82" s="25"/>
      <c r="N82" s="29" t="s">
        <v>466</v>
      </c>
      <c r="O82" s="83"/>
      <c r="P82" s="27"/>
      <c r="Q82" s="27"/>
      <c r="R82" s="27" t="s">
        <v>467</v>
      </c>
      <c r="S82" s="27"/>
      <c r="T82" s="27"/>
      <c r="U82" s="27"/>
      <c r="V82" s="27"/>
      <c r="W82" s="27" t="s">
        <v>468</v>
      </c>
      <c r="X82" s="27"/>
      <c r="Y82" s="27"/>
      <c r="Z82" s="27"/>
      <c r="AA82" s="29"/>
      <c r="AB82" s="66"/>
      <c r="AC82" s="66"/>
      <c r="AD82" s="31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2"/>
      <c r="BF82" s="32"/>
      <c r="BG82" s="32"/>
      <c r="BH82" s="32"/>
      <c r="BI82" s="32"/>
      <c r="BJ82" s="32"/>
      <c r="BK82" s="32"/>
      <c r="BL82" s="32"/>
      <c r="BM82" s="32"/>
      <c r="BN82" s="32"/>
      <c r="BO82" s="32"/>
      <c r="BP82" s="32"/>
      <c r="BQ82" s="32"/>
      <c r="BR82" s="32"/>
      <c r="BS82" s="32"/>
      <c r="BT82" s="32"/>
      <c r="BU82" s="32"/>
      <c r="BV82" s="32"/>
      <c r="BW82" s="32"/>
      <c r="BX82" s="32"/>
      <c r="BY82" s="32">
        <f t="shared" si="7"/>
        <v>82</v>
      </c>
      <c r="BZ82" s="32"/>
      <c r="CA82" s="32"/>
      <c r="CB82" s="32"/>
      <c r="CC82" s="32"/>
      <c r="CD82" s="32"/>
      <c r="CE82" s="32"/>
      <c r="CF82" s="32"/>
      <c r="CG82" s="32"/>
      <c r="CH82" s="32"/>
      <c r="CI82" s="32"/>
      <c r="CJ82" s="32"/>
      <c r="CK82" s="32"/>
      <c r="CL82" s="32"/>
      <c r="CM82" s="32"/>
      <c r="CN82" s="32"/>
      <c r="CO82" s="32"/>
      <c r="CP82" s="32"/>
      <c r="CQ82" s="32"/>
      <c r="CR82" s="32"/>
      <c r="CS82" s="32"/>
      <c r="CT82" s="32"/>
      <c r="CU82" s="32"/>
      <c r="CV82" s="32"/>
      <c r="CW82" s="32"/>
      <c r="CX82" s="32"/>
      <c r="CY82" s="32"/>
      <c r="CZ82" s="32"/>
      <c r="DA82" s="32"/>
      <c r="DB82" s="32"/>
      <c r="DC82" s="32"/>
      <c r="DD82" s="32"/>
      <c r="DE82" s="32"/>
      <c r="DF82" s="32"/>
      <c r="DG82" s="32" t="s">
        <v>335</v>
      </c>
      <c r="DH82" s="32"/>
      <c r="DI82" s="32"/>
      <c r="DJ82" s="35"/>
      <c r="DK82" s="35"/>
      <c r="DL82" s="35"/>
      <c r="DM82" s="35"/>
      <c r="DN82" s="35"/>
      <c r="DO82" s="35"/>
      <c r="DP82" s="35"/>
      <c r="DQ82" s="35"/>
      <c r="DR82" s="35"/>
      <c r="DS82" s="35"/>
      <c r="DT82" s="35"/>
    </row>
    <row r="83" spans="1:124">
      <c r="A83" s="81"/>
      <c r="B83" s="82"/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31"/>
      <c r="N83" s="38" t="s">
        <v>351</v>
      </c>
      <c r="O83" s="84" t="s">
        <v>469</v>
      </c>
      <c r="P83" s="39" t="str">
        <f>IF($I$51,"  GasSat","  OilSat")</f>
        <v xml:space="preserve">  OilSat</v>
      </c>
      <c r="Q83" s="54" t="s">
        <v>353</v>
      </c>
      <c r="R83" s="54" t="s">
        <v>470</v>
      </c>
      <c r="S83" s="39" t="str">
        <f>IF($I$51,"  Gas Vol","  Oil Vol")</f>
        <v xml:space="preserve">  Oil Vol</v>
      </c>
      <c r="T83" s="54" t="s">
        <v>471</v>
      </c>
      <c r="U83" s="54" t="s">
        <v>472</v>
      </c>
      <c r="V83" s="39"/>
      <c r="W83" s="54" t="s">
        <v>351</v>
      </c>
      <c r="X83" s="54" t="s">
        <v>352</v>
      </c>
      <c r="Y83" s="54" t="s">
        <v>473</v>
      </c>
      <c r="Z83" s="54" t="s">
        <v>353</v>
      </c>
      <c r="AA83" s="85" t="s">
        <v>474</v>
      </c>
      <c r="AB83" s="38"/>
      <c r="AC83" s="54"/>
      <c r="AD83" s="31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2"/>
      <c r="BT83" s="32"/>
      <c r="BU83" s="32"/>
      <c r="BV83" s="32"/>
      <c r="BW83" s="32"/>
      <c r="BX83" s="32"/>
      <c r="BY83" s="32">
        <f t="shared" si="7"/>
        <v>83</v>
      </c>
      <c r="BZ83" s="32"/>
      <c r="CA83" s="32"/>
      <c r="CB83" s="32"/>
      <c r="CC83" s="32"/>
      <c r="CD83" s="32"/>
      <c r="CE83" s="32"/>
      <c r="CF83" s="32"/>
      <c r="CG83" s="32"/>
      <c r="CH83" s="32"/>
      <c r="CI83" s="32"/>
      <c r="CJ83" s="32"/>
      <c r="CK83" s="32"/>
      <c r="CL83" s="32"/>
      <c r="CM83" s="32"/>
      <c r="CN83" s="32"/>
      <c r="CO83" s="32"/>
      <c r="CP83" s="32"/>
      <c r="CQ83" s="32"/>
      <c r="CR83" s="32"/>
      <c r="CS83" s="32"/>
      <c r="CT83" s="32"/>
      <c r="CU83" s="32"/>
      <c r="CV83" s="32"/>
      <c r="CW83" s="32"/>
      <c r="CX83" s="32"/>
      <c r="CY83" s="32"/>
      <c r="CZ83" s="32"/>
      <c r="DA83" s="32"/>
      <c r="DB83" s="32"/>
      <c r="DC83" s="32"/>
      <c r="DD83" s="32"/>
      <c r="DE83" s="32"/>
      <c r="DF83" s="32"/>
      <c r="DG83" s="32" t="s">
        <v>335</v>
      </c>
      <c r="DH83" s="32"/>
      <c r="DI83" s="32"/>
      <c r="DJ83" s="35"/>
      <c r="DK83" s="35"/>
      <c r="DL83" s="35"/>
      <c r="DM83" s="35"/>
      <c r="DN83" s="35"/>
      <c r="DO83" s="35"/>
      <c r="DP83" s="35"/>
      <c r="DQ83" s="35"/>
      <c r="DR83" s="35"/>
      <c r="DS83" s="35"/>
      <c r="DT83" s="35"/>
    </row>
    <row r="84" spans="1:124">
      <c r="A84" s="81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  <c r="M84" s="31"/>
      <c r="N84" s="38" t="s">
        <v>424</v>
      </c>
      <c r="O84" s="84" t="s">
        <v>424</v>
      </c>
      <c r="P84" s="54" t="s">
        <v>424</v>
      </c>
      <c r="Q84" s="54" t="s">
        <v>425</v>
      </c>
      <c r="R84" s="39" t="str">
        <f>"     "&amp;$L$24</f>
        <v xml:space="preserve">     meters</v>
      </c>
      <c r="S84" s="39" t="str">
        <f>"  "&amp;$L$24</f>
        <v xml:space="preserve">  meters</v>
      </c>
      <c r="T84" s="39" t="str">
        <f>"      "&amp;$L$32</f>
        <v xml:space="preserve">      md-m</v>
      </c>
      <c r="U84" s="39" t="str">
        <f>"   "&amp;$L$24</f>
        <v xml:space="preserve">   meters</v>
      </c>
      <c r="V84" s="39"/>
      <c r="W84" s="54" t="s">
        <v>424</v>
      </c>
      <c r="X84" s="54" t="s">
        <v>424</v>
      </c>
      <c r="Y84" s="54" t="s">
        <v>424</v>
      </c>
      <c r="Z84" s="54" t="s">
        <v>425</v>
      </c>
      <c r="AA84" s="38" t="s">
        <v>475</v>
      </c>
      <c r="AB84" s="54" t="s">
        <v>476</v>
      </c>
      <c r="AC84" s="54" t="s">
        <v>477</v>
      </c>
      <c r="AD84" s="31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/>
      <c r="BV84" s="32"/>
      <c r="BW84" s="32"/>
      <c r="BX84" s="32"/>
      <c r="BY84" s="32">
        <f t="shared" si="7"/>
        <v>84</v>
      </c>
      <c r="BZ84" s="32"/>
      <c r="CA84" s="32"/>
      <c r="CB84" s="32"/>
      <c r="CC84" s="32"/>
      <c r="CD84" s="32"/>
      <c r="CE84" s="32"/>
      <c r="CF84" s="32"/>
      <c r="CG84" s="32"/>
      <c r="CH84" s="32"/>
      <c r="CI84" s="32"/>
      <c r="CJ84" s="32"/>
      <c r="CK84" s="32"/>
      <c r="CL84" s="32"/>
      <c r="CM84" s="32"/>
      <c r="CN84" s="32"/>
      <c r="CO84" s="32"/>
      <c r="CP84" s="32"/>
      <c r="CQ84" s="32"/>
      <c r="CR84" s="32"/>
      <c r="CS84" s="32"/>
      <c r="CT84" s="32"/>
      <c r="CU84" s="32"/>
      <c r="CV84" s="32"/>
      <c r="CW84" s="32"/>
      <c r="CX84" s="32"/>
      <c r="CY84" s="32"/>
      <c r="CZ84" s="32"/>
      <c r="DA84" s="32"/>
      <c r="DB84" s="32"/>
      <c r="DC84" s="32"/>
      <c r="DD84" s="32"/>
      <c r="DE84" s="32"/>
      <c r="DF84" s="32"/>
      <c r="DG84" s="32" t="s">
        <v>335</v>
      </c>
      <c r="DH84" s="32"/>
      <c r="DI84" s="32"/>
      <c r="DJ84" s="35"/>
      <c r="DK84" s="35"/>
      <c r="DL84" s="35"/>
      <c r="DM84" s="35"/>
      <c r="DN84" s="35"/>
      <c r="DO84" s="35"/>
      <c r="DP84" s="35"/>
      <c r="DQ84" s="35"/>
      <c r="DR84" s="35"/>
      <c r="DS84" s="35"/>
      <c r="DT84" s="35"/>
    </row>
    <row r="85" spans="1:124">
      <c r="A85" s="81"/>
      <c r="B85" s="82"/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31"/>
      <c r="N85" s="30">
        <f ca="1">IF(U85&gt;0,SUM(CR73:CR81)/U85,0)</f>
        <v>0.16194607843137243</v>
      </c>
      <c r="O85" s="72">
        <f ca="1">IF(U85&gt;0,R85/U85,0)</f>
        <v>0.20910870360860928</v>
      </c>
      <c r="P85" s="36">
        <f ca="1">IF(R85&gt;0,S85/R85,1)</f>
        <v>0.62839713429437927</v>
      </c>
      <c r="Q85" s="86">
        <f ca="1">IF(U85&gt;0,T85/U85,0)</f>
        <v>4862.6885305071173</v>
      </c>
      <c r="R85" s="36">
        <f ca="1">SUM(CS73:CS81)</f>
        <v>8.3643481443443708</v>
      </c>
      <c r="S85" s="36">
        <f ca="1">SUM(CT73:CT81)</f>
        <v>5.2561324041465118</v>
      </c>
      <c r="T85" s="86">
        <f ca="1">SUM(CU73:CU81)</f>
        <v>194507.54122028471</v>
      </c>
      <c r="U85" s="36">
        <f ca="1">SUM(CV73:CV81)</f>
        <v>40</v>
      </c>
      <c r="V85" s="36"/>
      <c r="W85" s="36">
        <f>$O$6</f>
        <v>1</v>
      </c>
      <c r="X85" s="36">
        <f>$P$6</f>
        <v>0</v>
      </c>
      <c r="Y85" s="36">
        <f>$Q$6</f>
        <v>1</v>
      </c>
      <c r="Z85" s="36">
        <f>$R$6</f>
        <v>0</v>
      </c>
      <c r="AA85" s="38" t="s">
        <v>478</v>
      </c>
      <c r="AB85" s="54" t="s">
        <v>479</v>
      </c>
      <c r="AC85" s="54" t="s">
        <v>480</v>
      </c>
      <c r="AD85" s="31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  <c r="BT85" s="32"/>
      <c r="BU85" s="32"/>
      <c r="BV85" s="32"/>
      <c r="BW85" s="32"/>
      <c r="BX85" s="32"/>
      <c r="BY85" s="32">
        <f t="shared" si="7"/>
        <v>85</v>
      </c>
      <c r="BZ85" s="32"/>
      <c r="CA85" s="32"/>
      <c r="CB85" s="32"/>
      <c r="CC85" s="32"/>
      <c r="CD85" s="32"/>
      <c r="CE85" s="32"/>
      <c r="CF85" s="32"/>
      <c r="CG85" s="32"/>
      <c r="CH85" s="32"/>
      <c r="CI85" s="32"/>
      <c r="CJ85" s="32"/>
      <c r="CK85" s="32"/>
      <c r="CL85" s="32"/>
      <c r="CM85" s="32"/>
      <c r="CN85" s="32"/>
      <c r="CO85" s="32"/>
      <c r="CP85" s="32"/>
      <c r="CQ85" s="32"/>
      <c r="CR85" s="32"/>
      <c r="CS85" s="32"/>
      <c r="CT85" s="32"/>
      <c r="CU85" s="32"/>
      <c r="CV85" s="32"/>
      <c r="CW85" s="32"/>
      <c r="CX85" s="32"/>
      <c r="CY85" s="32"/>
      <c r="CZ85" s="32"/>
      <c r="DA85" s="32"/>
      <c r="DB85" s="32"/>
      <c r="DC85" s="32"/>
      <c r="DD85" s="32"/>
      <c r="DE85" s="32"/>
      <c r="DF85" s="32"/>
      <c r="DG85" s="32" t="s">
        <v>335</v>
      </c>
      <c r="DH85" s="32"/>
      <c r="DI85" s="32"/>
      <c r="DJ85" s="35"/>
      <c r="DK85" s="35"/>
      <c r="DL85" s="35"/>
      <c r="DM85" s="35"/>
      <c r="DN85" s="35"/>
      <c r="DO85" s="35"/>
      <c r="DP85" s="35"/>
      <c r="DQ85" s="35"/>
      <c r="DR85" s="35"/>
      <c r="DS85" s="35"/>
      <c r="DT85" s="35"/>
    </row>
    <row r="86" spans="1:124">
      <c r="A86" s="81"/>
      <c r="B86" s="82"/>
      <c r="C86" s="82"/>
      <c r="D86" s="82"/>
      <c r="E86" s="82"/>
      <c r="F86" s="82"/>
      <c r="G86" s="82"/>
      <c r="H86" s="82"/>
      <c r="I86" s="82"/>
      <c r="J86" s="82"/>
      <c r="K86" s="82"/>
      <c r="L86" s="82"/>
      <c r="M86" s="31"/>
      <c r="N86" s="33">
        <f ca="1">IF(U86&gt;0,SUM(CW73:CW81)/U86,0)</f>
        <v>4.2348039215686042E-2</v>
      </c>
      <c r="O86" s="73">
        <f ca="1">IF(U86&gt;0,R86/U86,0)</f>
        <v>0.27193676000154887</v>
      </c>
      <c r="P86" s="34">
        <f ca="1">IF(R86&gt;0,S86/R86,1)</f>
        <v>0.91007241937975503</v>
      </c>
      <c r="Q86" s="74">
        <f ca="1">IF(U86&gt;0,T86/U86,0)</f>
        <v>6655.9111221113371</v>
      </c>
      <c r="R86" s="34">
        <f ca="1">SUM(CX72:CX82)</f>
        <v>5.4387352000309779</v>
      </c>
      <c r="S86" s="34">
        <f ca="1">SUM(CY73:CY81)</f>
        <v>4.9496429018580281</v>
      </c>
      <c r="T86" s="74">
        <f ca="1">SUM(CZ73:CZ81)</f>
        <v>133118.22244222675</v>
      </c>
      <c r="U86" s="34">
        <f ca="1">SUM(DA73:DA81)</f>
        <v>20</v>
      </c>
      <c r="V86" s="34"/>
      <c r="W86" s="34">
        <f>$O$7</f>
        <v>0.4</v>
      </c>
      <c r="X86" s="34">
        <f>$P$7</f>
        <v>0.08</v>
      </c>
      <c r="Y86" s="34">
        <f>$Q$7</f>
        <v>0.6</v>
      </c>
      <c r="Z86" s="34">
        <f>$R$7</f>
        <v>1</v>
      </c>
      <c r="AA86" s="33" t="s">
        <v>481</v>
      </c>
      <c r="AB86" s="87">
        <f>A56</f>
        <v>0.08</v>
      </c>
      <c r="AC86" s="87"/>
      <c r="AD86" s="31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  <c r="BT86" s="32"/>
      <c r="BU86" s="32"/>
      <c r="BV86" s="32"/>
      <c r="BW86" s="32"/>
      <c r="BX86" s="32"/>
      <c r="BY86" s="32">
        <f t="shared" si="7"/>
        <v>86</v>
      </c>
      <c r="BZ86" s="32"/>
      <c r="CA86" s="32"/>
      <c r="CB86" s="32"/>
      <c r="CC86" s="32"/>
      <c r="CD86" s="32"/>
      <c r="CE86" s="32"/>
      <c r="CF86" s="32"/>
      <c r="CG86" s="32"/>
      <c r="CH86" s="32"/>
      <c r="CI86" s="32"/>
      <c r="CJ86" s="32"/>
      <c r="CK86" s="32"/>
      <c r="CL86" s="32"/>
      <c r="CM86" s="32"/>
      <c r="CN86" s="32"/>
      <c r="CO86" s="32"/>
      <c r="CP86" s="32"/>
      <c r="CQ86" s="32"/>
      <c r="CR86" s="32"/>
      <c r="CS86" s="32"/>
      <c r="CT86" s="32"/>
      <c r="CU86" s="32"/>
      <c r="CV86" s="32"/>
      <c r="CW86" s="32"/>
      <c r="CX86" s="32"/>
      <c r="CY86" s="32"/>
      <c r="CZ86" s="32"/>
      <c r="DA86" s="32"/>
      <c r="DB86" s="32"/>
      <c r="DC86" s="32"/>
      <c r="DD86" s="32"/>
      <c r="DE86" s="32"/>
      <c r="DF86" s="32"/>
      <c r="DG86" s="32" t="s">
        <v>335</v>
      </c>
      <c r="DH86" s="32"/>
      <c r="DI86" s="32"/>
      <c r="DJ86" s="35"/>
      <c r="DK86" s="35"/>
      <c r="DL86" s="35"/>
      <c r="DM86" s="35"/>
      <c r="DN86" s="35"/>
      <c r="DO86" s="35"/>
      <c r="DP86" s="35"/>
      <c r="DQ86" s="35"/>
      <c r="DR86" s="35"/>
      <c r="DS86" s="35"/>
      <c r="DT86" s="35"/>
    </row>
    <row r="87" spans="1:124">
      <c r="A87" s="81"/>
      <c r="B87" s="82"/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31"/>
      <c r="N87" s="33">
        <f ca="1">IF(U87&gt;0,SUM(DB73:DB81)/U87,0)</f>
        <v>4.2348039215686042E-2</v>
      </c>
      <c r="O87" s="73">
        <f ca="1">IF(U87&gt;0,R87/U87,0)</f>
        <v>0.27193676000154887</v>
      </c>
      <c r="P87" s="34">
        <f ca="1">IF(R87&gt;0,S87/R87,1)</f>
        <v>0.91007241937975503</v>
      </c>
      <c r="Q87" s="74">
        <f ca="1">IF(U87&gt;0,T87/U87,0)</f>
        <v>6655.9111221113371</v>
      </c>
      <c r="R87" s="34">
        <f ca="1">SUM(DC73:DC82)</f>
        <v>5.4387352000309779</v>
      </c>
      <c r="S87" s="34">
        <f ca="1">SUM(DD73:DD81)</f>
        <v>4.9496429018580281</v>
      </c>
      <c r="T87" s="74">
        <f ca="1">SUM(DE73:DE81)</f>
        <v>133118.22244222675</v>
      </c>
      <c r="U87" s="34">
        <f ca="1">SUM(DF73:DF81)</f>
        <v>20</v>
      </c>
      <c r="V87" s="34"/>
      <c r="W87" s="34">
        <f>$O$8</f>
        <v>0.25</v>
      </c>
      <c r="X87" s="34">
        <f>$P$8</f>
        <v>0.1</v>
      </c>
      <c r="Y87" s="34">
        <f>$Q$8</f>
        <v>0.3</v>
      </c>
      <c r="Z87" s="34">
        <f>$R$8</f>
        <v>2</v>
      </c>
      <c r="AA87" s="88">
        <f ca="1">SUM(DR73:DR81)</f>
        <v>2.2596995965495505</v>
      </c>
      <c r="AB87" s="76">
        <f ca="1">SUM(DS73:DS81)</f>
        <v>20</v>
      </c>
      <c r="AC87" s="73">
        <f ca="1">AA87/AB87</f>
        <v>0.11298497982747753</v>
      </c>
      <c r="AD87" s="31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  <c r="BT87" s="32"/>
      <c r="BU87" s="32"/>
      <c r="BV87" s="32"/>
      <c r="BW87" s="32"/>
      <c r="BX87" s="32"/>
      <c r="BY87" s="32">
        <f t="shared" si="7"/>
        <v>87</v>
      </c>
      <c r="BZ87" s="32"/>
      <c r="CA87" s="32"/>
      <c r="CB87" s="32"/>
      <c r="CC87" s="32"/>
      <c r="CD87" s="32"/>
      <c r="CE87" s="32"/>
      <c r="CF87" s="32"/>
      <c r="CG87" s="32"/>
      <c r="CH87" s="32"/>
      <c r="CI87" s="32"/>
      <c r="CJ87" s="32"/>
      <c r="CK87" s="32"/>
      <c r="CL87" s="32"/>
      <c r="CM87" s="32"/>
      <c r="CN87" s="32"/>
      <c r="CO87" s="32"/>
      <c r="CP87" s="32"/>
      <c r="CQ87" s="32"/>
      <c r="CR87" s="32"/>
      <c r="CS87" s="32"/>
      <c r="CT87" s="32"/>
      <c r="CU87" s="32"/>
      <c r="CV87" s="32"/>
      <c r="CW87" s="32"/>
      <c r="CX87" s="32"/>
      <c r="CY87" s="32"/>
      <c r="CZ87" s="32"/>
      <c r="DA87" s="32"/>
      <c r="DB87" s="32"/>
      <c r="DC87" s="32"/>
      <c r="DD87" s="32"/>
      <c r="DE87" s="32"/>
      <c r="DF87" s="32"/>
      <c r="DG87" s="32" t="s">
        <v>335</v>
      </c>
      <c r="DH87" s="32"/>
      <c r="DI87" s="32"/>
      <c r="DJ87" s="35"/>
      <c r="DK87" s="35"/>
      <c r="DL87" s="35"/>
      <c r="DM87" s="35"/>
      <c r="DN87" s="35"/>
      <c r="DO87" s="35"/>
      <c r="DP87" s="35"/>
      <c r="DQ87" s="35"/>
      <c r="DR87" s="35"/>
      <c r="DS87" s="35"/>
      <c r="DT87" s="35"/>
    </row>
    <row r="88" spans="1:124">
      <c r="A88" s="81"/>
      <c r="B88" s="82"/>
      <c r="C88" s="82"/>
      <c r="D88" s="82"/>
      <c r="E88" s="82"/>
      <c r="F88" s="82"/>
      <c r="G88" s="82"/>
      <c r="H88" s="82"/>
      <c r="I88" s="82"/>
      <c r="J88" s="82"/>
      <c r="K88" s="82"/>
      <c r="L88" s="82"/>
      <c r="M88" s="31"/>
      <c r="N88" s="33"/>
      <c r="O88" s="34" t="s">
        <v>484</v>
      </c>
      <c r="P88" s="34"/>
      <c r="Q88" s="74"/>
      <c r="R88" s="34"/>
      <c r="S88" s="34"/>
      <c r="T88" s="34"/>
      <c r="U88" s="34"/>
      <c r="V88" s="34"/>
      <c r="W88" s="34"/>
      <c r="X88" s="34"/>
      <c r="Y88" s="34"/>
      <c r="Z88" s="34"/>
      <c r="AA88" s="33" t="s">
        <v>485</v>
      </c>
      <c r="AB88" s="34"/>
      <c r="AC88" s="34"/>
      <c r="AD88" s="31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32"/>
      <c r="BA88" s="32"/>
      <c r="BB88" s="32"/>
      <c r="BC88" s="32"/>
      <c r="BD88" s="32"/>
      <c r="BE88" s="32"/>
      <c r="BF88" s="32"/>
      <c r="BG88" s="32"/>
      <c r="BH88" s="32"/>
      <c r="BI88" s="32"/>
      <c r="BJ88" s="32"/>
      <c r="BK88" s="32"/>
      <c r="BL88" s="32"/>
      <c r="BM88" s="32"/>
      <c r="BN88" s="32"/>
      <c r="BO88" s="32"/>
      <c r="BP88" s="32"/>
      <c r="BQ88" s="32"/>
      <c r="BR88" s="32"/>
      <c r="BS88" s="32"/>
      <c r="BT88" s="32"/>
      <c r="BU88" s="32"/>
      <c r="BV88" s="32"/>
      <c r="BW88" s="32"/>
      <c r="BX88" s="32"/>
      <c r="BY88" s="32"/>
      <c r="BZ88" s="32"/>
      <c r="CA88" s="32"/>
      <c r="CB88" s="32"/>
      <c r="CC88" s="32"/>
      <c r="CD88" s="32"/>
      <c r="CE88" s="32"/>
      <c r="CF88" s="32"/>
      <c r="CG88" s="32"/>
      <c r="CH88" s="32"/>
      <c r="CI88" s="32"/>
      <c r="CJ88" s="32"/>
      <c r="CK88" s="32"/>
      <c r="CL88" s="32"/>
      <c r="CM88" s="32"/>
      <c r="CN88" s="32"/>
      <c r="CO88" s="32"/>
      <c r="CP88" s="32"/>
      <c r="CQ88" s="32"/>
      <c r="CR88" s="32"/>
      <c r="CS88" s="32"/>
      <c r="CT88" s="32"/>
      <c r="CU88" s="32"/>
      <c r="CV88" s="32"/>
      <c r="CW88" s="32"/>
      <c r="CX88" s="32"/>
      <c r="CY88" s="32"/>
      <c r="CZ88" s="32"/>
      <c r="DA88" s="32"/>
      <c r="DB88" s="32"/>
      <c r="DC88" s="32"/>
      <c r="DD88" s="32"/>
      <c r="DE88" s="32"/>
      <c r="DF88" s="32"/>
      <c r="DG88" s="32"/>
      <c r="DH88" s="32"/>
      <c r="DI88" s="32"/>
      <c r="DJ88" s="35"/>
      <c r="DK88" s="35"/>
      <c r="DL88" s="35"/>
      <c r="DM88" s="35"/>
      <c r="DN88" s="35"/>
      <c r="DO88" s="35"/>
      <c r="DP88" s="35"/>
      <c r="DQ88" s="35"/>
      <c r="DR88" s="35"/>
      <c r="DS88" s="35"/>
      <c r="DT88" s="35"/>
    </row>
    <row r="89" spans="1:124">
      <c r="A89" s="81"/>
      <c r="B89" s="82"/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31"/>
      <c r="N89" s="77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25"/>
      <c r="AB89" s="26"/>
      <c r="AC89" s="26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32"/>
      <c r="BV89" s="32"/>
      <c r="BW89" s="32"/>
      <c r="BX89" s="32"/>
      <c r="BY89" s="32"/>
      <c r="BZ89" s="32"/>
      <c r="CA89" s="32"/>
      <c r="CB89" s="32"/>
      <c r="CC89" s="32"/>
      <c r="CD89" s="32"/>
      <c r="CE89" s="32"/>
      <c r="CF89" s="32"/>
      <c r="CG89" s="32"/>
      <c r="CH89" s="32"/>
      <c r="CI89" s="32"/>
      <c r="CJ89" s="32"/>
      <c r="CK89" s="32"/>
      <c r="CL89" s="32"/>
      <c r="CM89" s="32"/>
      <c r="CN89" s="32"/>
      <c r="CO89" s="32"/>
      <c r="CP89" s="32"/>
      <c r="CQ89" s="32"/>
      <c r="CR89" s="32"/>
      <c r="CS89" s="32"/>
      <c r="CT89" s="32"/>
      <c r="CU89" s="32"/>
      <c r="CV89" s="32"/>
      <c r="CW89" s="32"/>
      <c r="CX89" s="32"/>
      <c r="CY89" s="32"/>
      <c r="CZ89" s="32"/>
      <c r="DA89" s="32"/>
      <c r="DB89" s="32"/>
      <c r="DC89" s="32"/>
      <c r="DD89" s="32"/>
      <c r="DE89" s="32"/>
      <c r="DF89" s="32"/>
      <c r="DG89" s="32"/>
      <c r="DH89" s="32"/>
      <c r="DI89" s="32"/>
      <c r="DJ89" s="35"/>
      <c r="DK89" s="35"/>
      <c r="DL89" s="35"/>
      <c r="DM89" s="35"/>
      <c r="DN89" s="35"/>
      <c r="DO89" s="35"/>
      <c r="DP89" s="35"/>
      <c r="DQ89" s="35"/>
      <c r="DR89" s="35"/>
      <c r="DS89" s="35"/>
      <c r="DT89" s="35"/>
    </row>
    <row r="90" spans="1:124">
      <c r="A90" s="81"/>
      <c r="B90" s="82"/>
      <c r="C90" s="82"/>
      <c r="D90" s="82"/>
      <c r="E90" s="82"/>
      <c r="F90" s="82"/>
      <c r="G90" s="82"/>
      <c r="H90" s="82"/>
      <c r="I90" s="82"/>
      <c r="J90" s="82"/>
      <c r="K90" s="82"/>
      <c r="L90" s="82"/>
      <c r="M90" s="31"/>
      <c r="N90" s="81"/>
      <c r="O90" s="82"/>
      <c r="P90" s="82"/>
      <c r="Q90" s="82"/>
      <c r="R90" s="82"/>
      <c r="S90" s="82"/>
      <c r="T90" s="82"/>
      <c r="U90" s="82"/>
      <c r="V90" s="82"/>
      <c r="W90" s="82"/>
      <c r="X90" s="82"/>
      <c r="Y90" s="82"/>
      <c r="Z90" s="82"/>
      <c r="AA90" s="31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  <c r="BT90" s="32"/>
      <c r="BU90" s="32"/>
      <c r="BV90" s="32"/>
      <c r="BW90" s="32"/>
      <c r="BX90" s="32"/>
      <c r="BY90" s="32"/>
      <c r="BZ90" s="32"/>
      <c r="CA90" s="32"/>
      <c r="CB90" s="32"/>
      <c r="CC90" s="32"/>
      <c r="CD90" s="32"/>
      <c r="CE90" s="32"/>
      <c r="CF90" s="32"/>
      <c r="CG90" s="32"/>
      <c r="CH90" s="32"/>
      <c r="CI90" s="32"/>
      <c r="CJ90" s="32"/>
      <c r="CK90" s="32"/>
      <c r="CL90" s="32"/>
      <c r="CM90" s="32"/>
      <c r="CN90" s="32"/>
      <c r="CO90" s="32"/>
      <c r="CP90" s="32"/>
      <c r="CQ90" s="32"/>
      <c r="CR90" s="32"/>
      <c r="CS90" s="32"/>
      <c r="CT90" s="32"/>
      <c r="CU90" s="32"/>
      <c r="CV90" s="32"/>
      <c r="CW90" s="32"/>
      <c r="CX90" s="32"/>
      <c r="CY90" s="32"/>
      <c r="CZ90" s="32"/>
      <c r="DA90" s="32"/>
      <c r="DB90" s="32"/>
      <c r="DC90" s="32"/>
      <c r="DD90" s="32"/>
      <c r="DE90" s="32"/>
      <c r="DF90" s="32"/>
      <c r="DG90" s="32"/>
      <c r="DH90" s="32"/>
      <c r="DI90" s="32"/>
      <c r="DJ90" s="35"/>
      <c r="DK90" s="35"/>
      <c r="DL90" s="35"/>
      <c r="DM90" s="35"/>
      <c r="DN90" s="35"/>
      <c r="DO90" s="35"/>
      <c r="DP90" s="35"/>
      <c r="DQ90" s="35"/>
      <c r="DR90" s="35"/>
      <c r="DS90" s="35"/>
      <c r="DT90" s="35"/>
    </row>
    <row r="91" spans="1:124">
      <c r="A91" s="81"/>
      <c r="B91" s="82"/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31"/>
      <c r="N91" s="81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  <c r="AA91" s="31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32"/>
      <c r="BD91" s="32"/>
      <c r="BE91" s="32"/>
      <c r="BF91" s="32"/>
      <c r="BG91" s="32"/>
      <c r="BH91" s="32"/>
      <c r="BI91" s="32"/>
      <c r="BJ91" s="32"/>
      <c r="BK91" s="32"/>
      <c r="BL91" s="32"/>
      <c r="BM91" s="32"/>
      <c r="BN91" s="32"/>
      <c r="BO91" s="32"/>
      <c r="BP91" s="32"/>
      <c r="BQ91" s="32"/>
      <c r="BR91" s="32"/>
      <c r="BS91" s="32"/>
      <c r="BT91" s="32"/>
      <c r="BU91" s="32"/>
      <c r="BV91" s="32"/>
      <c r="BW91" s="32"/>
      <c r="BX91" s="32"/>
      <c r="BY91" s="32"/>
      <c r="BZ91" s="32"/>
      <c r="CA91" s="32"/>
      <c r="CB91" s="32"/>
      <c r="CC91" s="32"/>
      <c r="CD91" s="32"/>
      <c r="CE91" s="32"/>
      <c r="CF91" s="32"/>
      <c r="CG91" s="32"/>
      <c r="CH91" s="32"/>
      <c r="CI91" s="32"/>
      <c r="CJ91" s="32"/>
      <c r="CK91" s="32"/>
      <c r="CL91" s="32"/>
      <c r="CM91" s="32"/>
      <c r="CN91" s="32"/>
      <c r="CO91" s="32"/>
      <c r="CP91" s="32"/>
      <c r="CQ91" s="32"/>
      <c r="CR91" s="32"/>
      <c r="CS91" s="32"/>
      <c r="CT91" s="32"/>
      <c r="CU91" s="32"/>
      <c r="CV91" s="32"/>
      <c r="CW91" s="32"/>
      <c r="CX91" s="32"/>
      <c r="CY91" s="32"/>
      <c r="CZ91" s="32"/>
      <c r="DA91" s="32"/>
      <c r="DB91" s="32"/>
      <c r="DC91" s="32"/>
      <c r="DD91" s="32"/>
      <c r="DE91" s="32"/>
      <c r="DF91" s="32"/>
      <c r="DG91" s="32"/>
      <c r="DH91" s="32"/>
      <c r="DI91" s="32"/>
      <c r="DJ91" s="35"/>
      <c r="DK91" s="35"/>
      <c r="DL91" s="35"/>
      <c r="DM91" s="35"/>
      <c r="DN91" s="35"/>
      <c r="DO91" s="35"/>
      <c r="DP91" s="35"/>
      <c r="DQ91" s="35"/>
      <c r="DR91" s="35"/>
      <c r="DS91" s="35"/>
      <c r="DT91" s="35"/>
    </row>
    <row r="92" spans="1:124">
      <c r="A92" s="81"/>
      <c r="B92" s="82"/>
      <c r="C92" s="82"/>
      <c r="D92" s="82"/>
      <c r="E92" s="82"/>
      <c r="F92" s="82"/>
      <c r="G92" s="82"/>
      <c r="H92" s="82"/>
      <c r="I92" s="82"/>
      <c r="J92" s="82"/>
      <c r="K92" s="82"/>
      <c r="L92" s="82"/>
      <c r="M92" s="31"/>
      <c r="N92" s="81"/>
      <c r="O92" s="82"/>
      <c r="P92" s="82"/>
      <c r="Q92" s="82"/>
      <c r="R92" s="82"/>
      <c r="S92" s="82"/>
      <c r="T92" s="82"/>
      <c r="U92" s="82"/>
      <c r="V92" s="82"/>
      <c r="W92" s="82"/>
      <c r="X92" s="82"/>
      <c r="Y92" s="82"/>
      <c r="Z92" s="82"/>
      <c r="AA92" s="31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32"/>
      <c r="BD92" s="32"/>
      <c r="BE92" s="32"/>
      <c r="BF92" s="32"/>
      <c r="BG92" s="32"/>
      <c r="BH92" s="32"/>
      <c r="BI92" s="32"/>
      <c r="BJ92" s="32"/>
      <c r="BK92" s="32"/>
      <c r="BL92" s="32"/>
      <c r="BM92" s="32"/>
      <c r="BN92" s="32"/>
      <c r="BO92" s="32"/>
      <c r="BP92" s="32"/>
      <c r="BQ92" s="32"/>
      <c r="BR92" s="32"/>
      <c r="BS92" s="32"/>
      <c r="BT92" s="32"/>
      <c r="BU92" s="32"/>
      <c r="BV92" s="32"/>
      <c r="BW92" s="32"/>
      <c r="BX92" s="32"/>
      <c r="BY92" s="32"/>
      <c r="BZ92" s="32"/>
      <c r="CA92" s="32"/>
      <c r="CB92" s="32"/>
      <c r="CC92" s="32"/>
      <c r="CD92" s="32"/>
      <c r="CE92" s="32"/>
      <c r="CF92" s="32"/>
      <c r="CG92" s="32"/>
      <c r="CH92" s="32"/>
      <c r="CI92" s="32"/>
      <c r="CJ92" s="32"/>
      <c r="CK92" s="32"/>
      <c r="CL92" s="32"/>
      <c r="CM92" s="32"/>
      <c r="CN92" s="32"/>
      <c r="CO92" s="32"/>
      <c r="CP92" s="32"/>
      <c r="CQ92" s="32"/>
      <c r="CR92" s="32"/>
      <c r="CS92" s="32"/>
      <c r="CT92" s="32"/>
      <c r="CU92" s="32"/>
      <c r="CV92" s="32"/>
      <c r="CW92" s="32"/>
      <c r="CX92" s="32"/>
      <c r="CY92" s="32"/>
      <c r="CZ92" s="32"/>
      <c r="DA92" s="32"/>
      <c r="DB92" s="32"/>
      <c r="DC92" s="32"/>
      <c r="DD92" s="32"/>
      <c r="DE92" s="32"/>
      <c r="DF92" s="32"/>
      <c r="DG92" s="32"/>
      <c r="DH92" s="32"/>
      <c r="DI92" s="32"/>
      <c r="DJ92" s="35"/>
      <c r="DK92" s="35"/>
      <c r="DL92" s="35"/>
      <c r="DM92" s="35"/>
      <c r="DN92" s="35"/>
      <c r="DO92" s="35"/>
      <c r="DP92" s="35"/>
      <c r="DQ92" s="35"/>
      <c r="DR92" s="35"/>
      <c r="DS92" s="35"/>
      <c r="DT92" s="35"/>
    </row>
    <row r="93" spans="1:124">
      <c r="A93" s="81"/>
      <c r="B93" s="82"/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31"/>
      <c r="N93" s="81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2"/>
      <c r="AA93" s="31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/>
      <c r="BE93" s="32"/>
      <c r="BF93" s="32"/>
      <c r="BG93" s="32"/>
      <c r="BH93" s="32"/>
      <c r="BI93" s="32"/>
      <c r="BJ93" s="32"/>
      <c r="BK93" s="32"/>
      <c r="BL93" s="32"/>
      <c r="BM93" s="32"/>
      <c r="BN93" s="32"/>
      <c r="BO93" s="32"/>
      <c r="BP93" s="32"/>
      <c r="BQ93" s="32"/>
      <c r="BR93" s="32"/>
      <c r="BS93" s="32"/>
      <c r="BT93" s="32"/>
      <c r="BU93" s="32"/>
      <c r="BV93" s="32"/>
      <c r="BW93" s="32"/>
      <c r="BX93" s="32"/>
      <c r="BY93" s="32"/>
      <c r="BZ93" s="32"/>
      <c r="CA93" s="32"/>
      <c r="CB93" s="32"/>
      <c r="CC93" s="32"/>
      <c r="CD93" s="32"/>
      <c r="CE93" s="32"/>
      <c r="CF93" s="32"/>
      <c r="CG93" s="32"/>
      <c r="CH93" s="32"/>
      <c r="CI93" s="32"/>
      <c r="CJ93" s="32"/>
      <c r="CK93" s="32"/>
      <c r="CL93" s="32"/>
      <c r="CM93" s="32"/>
      <c r="CN93" s="32"/>
      <c r="CO93" s="32"/>
      <c r="CP93" s="32"/>
      <c r="CQ93" s="32"/>
      <c r="CR93" s="32"/>
      <c r="CS93" s="32"/>
      <c r="CT93" s="32"/>
      <c r="CU93" s="32"/>
      <c r="CV93" s="32"/>
      <c r="CW93" s="32"/>
      <c r="CX93" s="32"/>
      <c r="CY93" s="32"/>
      <c r="CZ93" s="32"/>
      <c r="DA93" s="32"/>
      <c r="DB93" s="32"/>
      <c r="DC93" s="32"/>
      <c r="DD93" s="32"/>
      <c r="DE93" s="32"/>
      <c r="DF93" s="32"/>
      <c r="DG93" s="32"/>
      <c r="DH93" s="32"/>
      <c r="DI93" s="32"/>
      <c r="DJ93" s="35"/>
      <c r="DK93" s="35"/>
      <c r="DL93" s="35"/>
      <c r="DM93" s="35"/>
      <c r="DN93" s="35"/>
      <c r="DO93" s="35"/>
      <c r="DP93" s="35"/>
      <c r="DQ93" s="35"/>
      <c r="DR93" s="35"/>
      <c r="DS93" s="35"/>
      <c r="DT93" s="35"/>
    </row>
    <row r="94" spans="1:124">
      <c r="A94" s="81"/>
      <c r="B94" s="82"/>
      <c r="C94" s="82"/>
      <c r="D94" s="82"/>
      <c r="E94" s="82"/>
      <c r="F94" s="82"/>
      <c r="G94" s="82"/>
      <c r="H94" s="82"/>
      <c r="I94" s="82"/>
      <c r="J94" s="82"/>
      <c r="K94" s="82"/>
      <c r="L94" s="82"/>
      <c r="M94" s="31"/>
      <c r="N94" s="81"/>
      <c r="O94" s="82"/>
      <c r="P94" s="82"/>
      <c r="Q94" s="82"/>
      <c r="R94" s="82"/>
      <c r="S94" s="82"/>
      <c r="T94" s="82"/>
      <c r="U94" s="82"/>
      <c r="V94" s="82"/>
      <c r="W94" s="82"/>
      <c r="X94" s="82"/>
      <c r="Y94" s="82"/>
      <c r="Z94" s="82"/>
      <c r="AA94" s="31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32"/>
      <c r="BD94" s="32"/>
      <c r="BE94" s="32"/>
      <c r="BF94" s="32"/>
      <c r="BG94" s="32"/>
      <c r="BH94" s="32"/>
      <c r="BI94" s="32"/>
      <c r="BJ94" s="32"/>
      <c r="BK94" s="32"/>
      <c r="BL94" s="32"/>
      <c r="BM94" s="32"/>
      <c r="BN94" s="32"/>
      <c r="BO94" s="32"/>
      <c r="BP94" s="32"/>
      <c r="BQ94" s="32"/>
      <c r="BR94" s="32"/>
      <c r="BS94" s="32"/>
      <c r="BT94" s="32"/>
      <c r="BU94" s="32"/>
      <c r="BV94" s="32"/>
      <c r="BW94" s="32"/>
      <c r="BX94" s="32"/>
      <c r="BY94" s="32"/>
      <c r="BZ94" s="32"/>
      <c r="CA94" s="32"/>
      <c r="CB94" s="32"/>
      <c r="CC94" s="32"/>
      <c r="CD94" s="32"/>
      <c r="CE94" s="32"/>
      <c r="CF94" s="32"/>
      <c r="CG94" s="32"/>
      <c r="CH94" s="32"/>
      <c r="CI94" s="32"/>
      <c r="CJ94" s="32"/>
      <c r="CK94" s="32"/>
      <c r="CL94" s="32"/>
      <c r="CM94" s="32"/>
      <c r="CN94" s="32"/>
      <c r="CO94" s="32"/>
      <c r="CP94" s="32"/>
      <c r="CQ94" s="32"/>
      <c r="CR94" s="32"/>
      <c r="CS94" s="32"/>
      <c r="CT94" s="32"/>
      <c r="CU94" s="32"/>
      <c r="CV94" s="32"/>
      <c r="CW94" s="32"/>
      <c r="CX94" s="32"/>
      <c r="CY94" s="32"/>
      <c r="CZ94" s="32"/>
      <c r="DA94" s="32"/>
      <c r="DB94" s="32"/>
      <c r="DC94" s="32"/>
      <c r="DD94" s="32"/>
      <c r="DE94" s="32"/>
      <c r="DF94" s="32"/>
      <c r="DG94" s="32"/>
      <c r="DH94" s="32"/>
      <c r="DI94" s="32"/>
      <c r="DJ94" s="35"/>
      <c r="DK94" s="35"/>
      <c r="DL94" s="35"/>
      <c r="DM94" s="35"/>
      <c r="DN94" s="35"/>
      <c r="DO94" s="35"/>
      <c r="DP94" s="35"/>
      <c r="DQ94" s="35"/>
      <c r="DR94" s="35"/>
      <c r="DS94" s="35"/>
      <c r="DT94" s="35"/>
    </row>
    <row r="95" spans="1:124">
      <c r="A95" s="81"/>
      <c r="B95" s="82"/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31"/>
      <c r="N95" s="81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  <c r="AA95" s="31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32"/>
      <c r="BD95" s="32"/>
      <c r="BE95" s="32"/>
      <c r="BF95" s="32"/>
      <c r="BG95" s="32"/>
      <c r="BH95" s="32"/>
      <c r="BI95" s="32"/>
      <c r="BJ95" s="32"/>
      <c r="BK95" s="32"/>
      <c r="BL95" s="32"/>
      <c r="BM95" s="32"/>
      <c r="BN95" s="32"/>
      <c r="BO95" s="32"/>
      <c r="BP95" s="32"/>
      <c r="BQ95" s="32"/>
      <c r="BR95" s="32"/>
      <c r="BS95" s="32"/>
      <c r="BT95" s="32"/>
      <c r="BU95" s="32"/>
      <c r="BV95" s="32"/>
      <c r="BW95" s="32"/>
      <c r="BX95" s="32"/>
      <c r="BY95" s="32"/>
      <c r="BZ95" s="32"/>
      <c r="CA95" s="32"/>
      <c r="CB95" s="32"/>
      <c r="CC95" s="32"/>
      <c r="CD95" s="32"/>
      <c r="CE95" s="32"/>
      <c r="CF95" s="32"/>
      <c r="CG95" s="32"/>
      <c r="CH95" s="32"/>
      <c r="CI95" s="32"/>
      <c r="CJ95" s="32"/>
      <c r="CK95" s="32"/>
      <c r="CL95" s="32"/>
      <c r="CM95" s="32"/>
      <c r="CN95" s="32"/>
      <c r="CO95" s="32"/>
      <c r="CP95" s="32"/>
      <c r="CQ95" s="32"/>
      <c r="CR95" s="32"/>
      <c r="CS95" s="32"/>
      <c r="CT95" s="32"/>
      <c r="CU95" s="32"/>
      <c r="CV95" s="32"/>
      <c r="CW95" s="32"/>
      <c r="CX95" s="32"/>
      <c r="CY95" s="32"/>
      <c r="CZ95" s="32"/>
      <c r="DA95" s="32"/>
      <c r="DB95" s="32"/>
      <c r="DC95" s="32"/>
      <c r="DD95" s="32"/>
      <c r="DE95" s="32"/>
      <c r="DF95" s="32"/>
      <c r="DG95" s="32"/>
      <c r="DH95" s="32"/>
      <c r="DI95" s="32"/>
      <c r="DJ95" s="35"/>
      <c r="DK95" s="35"/>
      <c r="DL95" s="35"/>
      <c r="DM95" s="35"/>
      <c r="DN95" s="35"/>
      <c r="DO95" s="35"/>
      <c r="DP95" s="35"/>
      <c r="DQ95" s="35"/>
      <c r="DR95" s="35"/>
      <c r="DS95" s="35"/>
      <c r="DT95" s="35"/>
    </row>
    <row r="96" spans="1:124">
      <c r="A96" s="81"/>
      <c r="B96" s="82"/>
      <c r="C96" s="82"/>
      <c r="D96" s="82"/>
      <c r="E96" s="82"/>
      <c r="F96" s="82"/>
      <c r="G96" s="82"/>
      <c r="H96" s="82"/>
      <c r="I96" s="82"/>
      <c r="J96" s="82"/>
      <c r="K96" s="82"/>
      <c r="L96" s="82"/>
      <c r="M96" s="31"/>
      <c r="N96" s="81"/>
      <c r="O96" s="82"/>
      <c r="P96" s="82"/>
      <c r="Q96" s="82"/>
      <c r="R96" s="82"/>
      <c r="S96" s="82"/>
      <c r="T96" s="82"/>
      <c r="U96" s="82"/>
      <c r="V96" s="82"/>
      <c r="W96" s="82"/>
      <c r="X96" s="82"/>
      <c r="Y96" s="82"/>
      <c r="Z96" s="82"/>
      <c r="AA96" s="31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  <c r="BF96" s="32"/>
      <c r="BG96" s="32"/>
      <c r="BH96" s="32"/>
      <c r="BI96" s="32"/>
      <c r="BJ96" s="32"/>
      <c r="BK96" s="32"/>
      <c r="BL96" s="32"/>
      <c r="BM96" s="32"/>
      <c r="BN96" s="32"/>
      <c r="BO96" s="32"/>
      <c r="BP96" s="32"/>
      <c r="BQ96" s="32"/>
      <c r="BR96" s="32"/>
      <c r="BS96" s="32"/>
      <c r="BT96" s="32"/>
      <c r="BU96" s="32"/>
      <c r="BV96" s="32"/>
      <c r="BW96" s="32"/>
      <c r="BX96" s="32"/>
      <c r="BY96" s="32"/>
      <c r="BZ96" s="32"/>
      <c r="CA96" s="32"/>
      <c r="CB96" s="32"/>
      <c r="CC96" s="32"/>
      <c r="CD96" s="32"/>
      <c r="CE96" s="32"/>
      <c r="CF96" s="32"/>
      <c r="CG96" s="32"/>
      <c r="CH96" s="32"/>
      <c r="CI96" s="32"/>
      <c r="CJ96" s="32"/>
      <c r="CK96" s="32"/>
      <c r="CL96" s="32"/>
      <c r="CM96" s="32"/>
      <c r="CN96" s="32"/>
      <c r="CO96" s="32"/>
      <c r="CP96" s="32"/>
      <c r="CQ96" s="32"/>
      <c r="CR96" s="32"/>
      <c r="CS96" s="32"/>
      <c r="CT96" s="32"/>
      <c r="CU96" s="32"/>
      <c r="CV96" s="32"/>
      <c r="CW96" s="32"/>
      <c r="CX96" s="32"/>
      <c r="CY96" s="32"/>
      <c r="CZ96" s="32"/>
      <c r="DA96" s="32"/>
      <c r="DB96" s="32"/>
      <c r="DC96" s="32"/>
      <c r="DD96" s="32"/>
      <c r="DE96" s="32"/>
      <c r="DF96" s="32"/>
      <c r="DG96" s="32"/>
      <c r="DH96" s="32"/>
      <c r="DI96" s="32"/>
      <c r="DJ96" s="35"/>
      <c r="DK96" s="35"/>
      <c r="DL96" s="35"/>
      <c r="DM96" s="35"/>
      <c r="DN96" s="35"/>
      <c r="DO96" s="35"/>
      <c r="DP96" s="35"/>
      <c r="DQ96" s="35"/>
      <c r="DR96" s="35"/>
      <c r="DS96" s="35"/>
      <c r="DT96" s="35"/>
    </row>
    <row r="97" spans="1:124">
      <c r="A97" s="81"/>
      <c r="B97" s="82"/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31"/>
      <c r="N97" s="81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  <c r="AA97" s="31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  <c r="BF97" s="32"/>
      <c r="BG97" s="32"/>
      <c r="BH97" s="32"/>
      <c r="BI97" s="32"/>
      <c r="BJ97" s="32"/>
      <c r="BK97" s="32"/>
      <c r="BL97" s="32"/>
      <c r="BM97" s="32"/>
      <c r="BN97" s="32"/>
      <c r="BO97" s="32"/>
      <c r="BP97" s="32"/>
      <c r="BQ97" s="32"/>
      <c r="BR97" s="32"/>
      <c r="BS97" s="32"/>
      <c r="BT97" s="32"/>
      <c r="BU97" s="32"/>
      <c r="BV97" s="32"/>
      <c r="BW97" s="32"/>
      <c r="BX97" s="32"/>
      <c r="BY97" s="32"/>
      <c r="BZ97" s="32"/>
      <c r="CA97" s="32"/>
      <c r="CB97" s="32"/>
      <c r="CC97" s="32"/>
      <c r="CD97" s="32"/>
      <c r="CE97" s="32"/>
      <c r="CF97" s="32"/>
      <c r="CG97" s="32"/>
      <c r="CH97" s="32"/>
      <c r="CI97" s="32"/>
      <c r="CJ97" s="32"/>
      <c r="CK97" s="32"/>
      <c r="CL97" s="32"/>
      <c r="CM97" s="32"/>
      <c r="CN97" s="32"/>
      <c r="CO97" s="32"/>
      <c r="CP97" s="32"/>
      <c r="CQ97" s="32"/>
      <c r="CR97" s="32"/>
      <c r="CS97" s="32"/>
      <c r="CT97" s="32"/>
      <c r="CU97" s="32"/>
      <c r="CV97" s="32"/>
      <c r="CW97" s="32"/>
      <c r="CX97" s="32"/>
      <c r="CY97" s="32"/>
      <c r="CZ97" s="32"/>
      <c r="DA97" s="32"/>
      <c r="DB97" s="32"/>
      <c r="DC97" s="32"/>
      <c r="DD97" s="32"/>
      <c r="DE97" s="32"/>
      <c r="DF97" s="32"/>
      <c r="DG97" s="32"/>
      <c r="DH97" s="32"/>
      <c r="DI97" s="32"/>
      <c r="DJ97" s="35"/>
      <c r="DK97" s="35"/>
      <c r="DL97" s="35"/>
      <c r="DM97" s="35"/>
      <c r="DN97" s="35"/>
      <c r="DO97" s="35"/>
      <c r="DP97" s="35"/>
      <c r="DQ97" s="35"/>
      <c r="DR97" s="35"/>
      <c r="DS97" s="35"/>
      <c r="DT97" s="35"/>
    </row>
    <row r="98" spans="1:124">
      <c r="A98" s="81"/>
      <c r="B98" s="82"/>
      <c r="C98" s="82"/>
      <c r="D98" s="82"/>
      <c r="E98" s="82"/>
      <c r="F98" s="82"/>
      <c r="G98" s="82"/>
      <c r="H98" s="82"/>
      <c r="I98" s="82"/>
      <c r="J98" s="82"/>
      <c r="K98" s="82"/>
      <c r="L98" s="82"/>
      <c r="M98" s="31"/>
      <c r="N98" s="81"/>
      <c r="O98" s="82"/>
      <c r="P98" s="82"/>
      <c r="Q98" s="82"/>
      <c r="R98" s="82"/>
      <c r="S98" s="82"/>
      <c r="T98" s="82"/>
      <c r="U98" s="82"/>
      <c r="V98" s="82"/>
      <c r="W98" s="82"/>
      <c r="X98" s="82"/>
      <c r="Y98" s="82"/>
      <c r="Z98" s="82"/>
      <c r="AA98" s="31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32"/>
      <c r="BG98" s="32"/>
      <c r="BH98" s="32"/>
      <c r="BI98" s="32"/>
      <c r="BJ98" s="32"/>
      <c r="BK98" s="32"/>
      <c r="BL98" s="32"/>
      <c r="BM98" s="32"/>
      <c r="BN98" s="32"/>
      <c r="BO98" s="32"/>
      <c r="BP98" s="32"/>
      <c r="BQ98" s="32"/>
      <c r="BR98" s="32"/>
      <c r="BS98" s="32"/>
      <c r="BT98" s="32"/>
      <c r="BU98" s="32"/>
      <c r="BV98" s="32"/>
      <c r="BW98" s="32"/>
      <c r="BX98" s="32"/>
      <c r="BY98" s="32"/>
      <c r="BZ98" s="32"/>
      <c r="CA98" s="32"/>
      <c r="CB98" s="32"/>
      <c r="CC98" s="32"/>
      <c r="CD98" s="32"/>
      <c r="CE98" s="32"/>
      <c r="CF98" s="32"/>
      <c r="CG98" s="32"/>
      <c r="CH98" s="32"/>
      <c r="CI98" s="32"/>
      <c r="CJ98" s="32"/>
      <c r="CK98" s="32"/>
      <c r="CL98" s="32"/>
      <c r="CM98" s="32"/>
      <c r="CN98" s="32"/>
      <c r="CO98" s="32"/>
      <c r="CP98" s="32"/>
      <c r="CQ98" s="32"/>
      <c r="CR98" s="32"/>
      <c r="CS98" s="32"/>
      <c r="CT98" s="32"/>
      <c r="CU98" s="32"/>
      <c r="CV98" s="32"/>
      <c r="CW98" s="32"/>
      <c r="CX98" s="32"/>
      <c r="CY98" s="32"/>
      <c r="CZ98" s="32"/>
      <c r="DA98" s="32"/>
      <c r="DB98" s="32"/>
      <c r="DC98" s="32"/>
      <c r="DD98" s="32"/>
      <c r="DE98" s="32"/>
      <c r="DF98" s="32"/>
      <c r="DG98" s="32"/>
      <c r="DH98" s="32"/>
      <c r="DI98" s="32"/>
      <c r="DJ98" s="35"/>
      <c r="DK98" s="35"/>
      <c r="DL98" s="35"/>
      <c r="DM98" s="35"/>
      <c r="DN98" s="35"/>
      <c r="DO98" s="35"/>
      <c r="DP98" s="35"/>
      <c r="DQ98" s="35"/>
      <c r="DR98" s="35"/>
      <c r="DS98" s="35"/>
      <c r="DT98" s="35"/>
    </row>
    <row r="99" spans="1:124">
      <c r="A99" s="81"/>
      <c r="B99" s="82"/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31"/>
      <c r="N99" s="81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  <c r="AA99" s="31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  <c r="BF99" s="32"/>
      <c r="BG99" s="32"/>
      <c r="BH99" s="32"/>
      <c r="BI99" s="32"/>
      <c r="BJ99" s="32"/>
      <c r="BK99" s="32"/>
      <c r="BL99" s="32"/>
      <c r="BM99" s="32"/>
      <c r="BN99" s="32"/>
      <c r="BO99" s="32"/>
      <c r="BP99" s="32"/>
      <c r="BQ99" s="32"/>
      <c r="BR99" s="32"/>
      <c r="BS99" s="32"/>
      <c r="BT99" s="32"/>
      <c r="BU99" s="32"/>
      <c r="BV99" s="32"/>
      <c r="BW99" s="32"/>
      <c r="BX99" s="32"/>
      <c r="BY99" s="32"/>
      <c r="BZ99" s="32"/>
      <c r="CA99" s="32"/>
      <c r="CB99" s="32"/>
      <c r="CC99" s="32"/>
      <c r="CD99" s="32"/>
      <c r="CE99" s="32"/>
      <c r="CF99" s="32"/>
      <c r="CG99" s="32"/>
      <c r="CH99" s="32"/>
      <c r="CI99" s="32"/>
      <c r="CJ99" s="32"/>
      <c r="CK99" s="32"/>
      <c r="CL99" s="32"/>
      <c r="CM99" s="32"/>
      <c r="CN99" s="32"/>
      <c r="CO99" s="32"/>
      <c r="CP99" s="32"/>
      <c r="CQ99" s="32"/>
      <c r="CR99" s="32"/>
      <c r="CS99" s="32"/>
      <c r="CT99" s="32"/>
      <c r="CU99" s="32"/>
      <c r="CV99" s="32"/>
      <c r="CW99" s="32"/>
      <c r="CX99" s="32"/>
      <c r="CY99" s="32"/>
      <c r="CZ99" s="32"/>
      <c r="DA99" s="32"/>
      <c r="DB99" s="32"/>
      <c r="DC99" s="32"/>
      <c r="DD99" s="32"/>
      <c r="DE99" s="32"/>
      <c r="DF99" s="32"/>
      <c r="DG99" s="32"/>
      <c r="DH99" s="32"/>
      <c r="DI99" s="32"/>
      <c r="DJ99" s="35"/>
      <c r="DK99" s="35"/>
      <c r="DL99" s="35"/>
      <c r="DM99" s="35"/>
      <c r="DN99" s="35"/>
      <c r="DO99" s="35"/>
      <c r="DP99" s="35"/>
      <c r="DQ99" s="35"/>
      <c r="DR99" s="35"/>
      <c r="DS99" s="35"/>
      <c r="DT99" s="35"/>
    </row>
    <row r="100" spans="1:124">
      <c r="A100" s="81"/>
      <c r="B100" s="82"/>
      <c r="C100" s="82"/>
      <c r="D100" s="82"/>
      <c r="E100" s="82"/>
      <c r="F100" s="82"/>
      <c r="G100" s="82"/>
      <c r="H100" s="82"/>
      <c r="I100" s="82"/>
      <c r="J100" s="82"/>
      <c r="K100" s="82"/>
      <c r="L100" s="82"/>
      <c r="M100" s="31"/>
      <c r="N100" s="81"/>
      <c r="O100" s="82"/>
      <c r="P100" s="82"/>
      <c r="Q100" s="82"/>
      <c r="R100" s="82"/>
      <c r="S100" s="82"/>
      <c r="T100" s="82"/>
      <c r="U100" s="82"/>
      <c r="V100" s="82"/>
      <c r="W100" s="82"/>
      <c r="X100" s="82"/>
      <c r="Y100" s="82"/>
      <c r="Z100" s="82"/>
      <c r="AA100" s="31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  <c r="BF100" s="32"/>
      <c r="BG100" s="32"/>
      <c r="BH100" s="32"/>
      <c r="BI100" s="32"/>
      <c r="BJ100" s="32"/>
      <c r="BK100" s="32"/>
      <c r="BL100" s="32"/>
      <c r="BM100" s="32"/>
      <c r="BN100" s="32"/>
      <c r="BO100" s="32"/>
      <c r="BP100" s="32"/>
      <c r="BQ100" s="32"/>
      <c r="BR100" s="32"/>
      <c r="BS100" s="32"/>
      <c r="BT100" s="32"/>
      <c r="BU100" s="32"/>
      <c r="BV100" s="32"/>
      <c r="BW100" s="32"/>
      <c r="BX100" s="32"/>
      <c r="BY100" s="32"/>
      <c r="BZ100" s="32"/>
      <c r="CA100" s="32"/>
      <c r="CB100" s="32"/>
      <c r="CC100" s="32"/>
      <c r="CD100" s="32"/>
      <c r="CE100" s="32"/>
      <c r="CF100" s="32"/>
      <c r="CG100" s="32"/>
      <c r="CH100" s="32"/>
      <c r="CI100" s="32"/>
      <c r="CJ100" s="32"/>
      <c r="CK100" s="32"/>
      <c r="CL100" s="32"/>
      <c r="CM100" s="32"/>
      <c r="CN100" s="32"/>
      <c r="CO100" s="32"/>
      <c r="CP100" s="32"/>
      <c r="CQ100" s="32"/>
      <c r="CR100" s="32"/>
      <c r="CS100" s="32"/>
      <c r="CT100" s="32"/>
      <c r="CU100" s="32"/>
      <c r="CV100" s="32"/>
      <c r="CW100" s="32"/>
      <c r="CX100" s="32"/>
      <c r="CY100" s="32"/>
      <c r="CZ100" s="32"/>
      <c r="DA100" s="32"/>
      <c r="DB100" s="32"/>
      <c r="DC100" s="32"/>
      <c r="DD100" s="32"/>
      <c r="DE100" s="32"/>
      <c r="DF100" s="32"/>
      <c r="DG100" s="32"/>
      <c r="DH100" s="32"/>
      <c r="DI100" s="32"/>
      <c r="DJ100" s="35"/>
      <c r="DK100" s="35"/>
      <c r="DL100" s="35"/>
      <c r="DM100" s="35"/>
      <c r="DN100" s="35"/>
      <c r="DO100" s="35"/>
      <c r="DP100" s="35"/>
      <c r="DQ100" s="35"/>
      <c r="DR100" s="35"/>
      <c r="DS100" s="35"/>
      <c r="DT100" s="35"/>
    </row>
    <row r="101" spans="1:124">
      <c r="A101" s="81"/>
      <c r="B101" s="82"/>
      <c r="C101" s="82"/>
      <c r="D101" s="82"/>
      <c r="E101" s="82"/>
      <c r="F101" s="82"/>
      <c r="G101" s="82"/>
      <c r="H101" s="82"/>
      <c r="I101" s="82"/>
      <c r="J101" s="82"/>
      <c r="K101" s="82"/>
      <c r="L101" s="82"/>
      <c r="M101" s="31"/>
      <c r="N101" s="81"/>
      <c r="O101" s="82"/>
      <c r="P101" s="82"/>
      <c r="Q101" s="82"/>
      <c r="R101" s="82"/>
      <c r="S101" s="82"/>
      <c r="T101" s="82"/>
      <c r="U101" s="82"/>
      <c r="V101" s="82"/>
      <c r="W101" s="82"/>
      <c r="X101" s="82"/>
      <c r="Y101" s="82"/>
      <c r="Z101" s="82"/>
      <c r="AA101" s="31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  <c r="BD101" s="32"/>
      <c r="BE101" s="32"/>
      <c r="BF101" s="32"/>
      <c r="BG101" s="32"/>
      <c r="BH101" s="32"/>
      <c r="BI101" s="32"/>
      <c r="BJ101" s="32"/>
      <c r="BK101" s="32"/>
      <c r="BL101" s="32"/>
      <c r="BM101" s="32"/>
      <c r="BN101" s="32"/>
      <c r="BO101" s="32"/>
      <c r="BP101" s="32"/>
      <c r="BQ101" s="32"/>
      <c r="BR101" s="32"/>
      <c r="BS101" s="32"/>
      <c r="BT101" s="32"/>
      <c r="BU101" s="32"/>
      <c r="BV101" s="32"/>
      <c r="BW101" s="32"/>
      <c r="BX101" s="32"/>
      <c r="BY101" s="32"/>
      <c r="BZ101" s="32"/>
      <c r="CA101" s="32"/>
      <c r="CB101" s="32"/>
      <c r="CC101" s="32"/>
      <c r="CD101" s="32"/>
      <c r="CE101" s="32"/>
      <c r="CF101" s="32"/>
      <c r="CG101" s="32"/>
      <c r="CH101" s="32"/>
      <c r="CI101" s="32"/>
      <c r="CJ101" s="32"/>
      <c r="CK101" s="32"/>
      <c r="CL101" s="32"/>
      <c r="CM101" s="32"/>
      <c r="CN101" s="32"/>
      <c r="CO101" s="32"/>
      <c r="CP101" s="32"/>
      <c r="CQ101" s="32"/>
      <c r="CR101" s="32"/>
      <c r="CS101" s="32"/>
      <c r="CT101" s="32"/>
      <c r="CU101" s="32"/>
      <c r="CV101" s="32"/>
      <c r="CW101" s="32"/>
      <c r="CX101" s="32"/>
      <c r="CY101" s="32"/>
      <c r="CZ101" s="32"/>
      <c r="DA101" s="32"/>
      <c r="DB101" s="32"/>
      <c r="DC101" s="32"/>
      <c r="DD101" s="32"/>
      <c r="DE101" s="32"/>
      <c r="DF101" s="32"/>
      <c r="DG101" s="32"/>
      <c r="DH101" s="32"/>
      <c r="DI101" s="32"/>
      <c r="DJ101" s="35"/>
      <c r="DK101" s="35"/>
      <c r="DL101" s="35"/>
      <c r="DM101" s="35"/>
      <c r="DN101" s="35"/>
      <c r="DO101" s="35"/>
      <c r="DP101" s="35"/>
      <c r="DQ101" s="35"/>
      <c r="DR101" s="35"/>
      <c r="DS101" s="35"/>
      <c r="DT101" s="35"/>
    </row>
    <row r="102" spans="1:124">
      <c r="A102" s="81"/>
      <c r="B102" s="82"/>
      <c r="C102" s="82"/>
      <c r="D102" s="82"/>
      <c r="E102" s="82"/>
      <c r="F102" s="82"/>
      <c r="G102" s="82"/>
      <c r="H102" s="82"/>
      <c r="I102" s="82"/>
      <c r="J102" s="82"/>
      <c r="K102" s="82"/>
      <c r="L102" s="82"/>
      <c r="M102" s="31"/>
      <c r="N102" s="81"/>
      <c r="O102" s="82"/>
      <c r="P102" s="82"/>
      <c r="Q102" s="82"/>
      <c r="R102" s="82"/>
      <c r="S102" s="82"/>
      <c r="T102" s="82"/>
      <c r="U102" s="82"/>
      <c r="V102" s="82"/>
      <c r="W102" s="82"/>
      <c r="X102" s="82"/>
      <c r="Y102" s="82"/>
      <c r="Z102" s="82"/>
      <c r="AA102" s="31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  <c r="BF102" s="32"/>
      <c r="BG102" s="32"/>
      <c r="BH102" s="32"/>
      <c r="BI102" s="32"/>
      <c r="BJ102" s="32"/>
      <c r="BK102" s="32"/>
      <c r="BL102" s="32"/>
      <c r="BM102" s="32"/>
      <c r="BN102" s="32"/>
      <c r="BO102" s="32"/>
      <c r="BP102" s="32"/>
      <c r="BQ102" s="32"/>
      <c r="BR102" s="32"/>
      <c r="BS102" s="32"/>
      <c r="BT102" s="32"/>
      <c r="BU102" s="32"/>
      <c r="BV102" s="32"/>
      <c r="BW102" s="32"/>
      <c r="BX102" s="32"/>
      <c r="BY102" s="32"/>
      <c r="BZ102" s="32"/>
      <c r="CA102" s="32"/>
      <c r="CB102" s="32"/>
      <c r="CC102" s="32"/>
      <c r="CD102" s="32"/>
      <c r="CE102" s="32"/>
      <c r="CF102" s="32"/>
      <c r="CG102" s="32"/>
      <c r="CH102" s="32"/>
      <c r="CI102" s="32"/>
      <c r="CJ102" s="32"/>
      <c r="CK102" s="32"/>
      <c r="CL102" s="32"/>
      <c r="CM102" s="32"/>
      <c r="CN102" s="32"/>
      <c r="CO102" s="32"/>
      <c r="CP102" s="32"/>
      <c r="CQ102" s="32"/>
      <c r="CR102" s="32"/>
      <c r="CS102" s="32"/>
      <c r="CT102" s="32"/>
      <c r="CU102" s="32"/>
      <c r="CV102" s="32"/>
      <c r="CW102" s="32"/>
      <c r="CX102" s="32"/>
      <c r="CY102" s="32"/>
      <c r="CZ102" s="32"/>
      <c r="DA102" s="32"/>
      <c r="DB102" s="32"/>
      <c r="DC102" s="32"/>
      <c r="DD102" s="32"/>
      <c r="DE102" s="32"/>
      <c r="DF102" s="32"/>
      <c r="DG102" s="32"/>
      <c r="DH102" s="32"/>
      <c r="DI102" s="32"/>
      <c r="DJ102" s="35"/>
      <c r="DK102" s="35"/>
      <c r="DL102" s="35"/>
      <c r="DM102" s="35"/>
      <c r="DN102" s="35"/>
      <c r="DO102" s="35"/>
      <c r="DP102" s="35"/>
      <c r="DQ102" s="35"/>
      <c r="DR102" s="35"/>
      <c r="DS102" s="35"/>
      <c r="DT102" s="35"/>
    </row>
    <row r="103" spans="1:124">
      <c r="A103" s="81"/>
      <c r="B103" s="82"/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31"/>
      <c r="N103" s="81"/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82"/>
      <c r="Z103" s="82"/>
      <c r="AA103" s="31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32"/>
      <c r="BD103" s="32"/>
      <c r="BE103" s="32"/>
      <c r="BF103" s="32"/>
      <c r="BG103" s="32"/>
      <c r="BH103" s="32"/>
      <c r="BI103" s="32"/>
      <c r="BJ103" s="32"/>
      <c r="BK103" s="32"/>
      <c r="BL103" s="32"/>
      <c r="BM103" s="32"/>
      <c r="BN103" s="32"/>
      <c r="BO103" s="32"/>
      <c r="BP103" s="32"/>
      <c r="BQ103" s="32"/>
      <c r="BR103" s="32"/>
      <c r="BS103" s="32"/>
      <c r="BT103" s="32"/>
      <c r="BU103" s="32"/>
      <c r="BV103" s="32"/>
      <c r="BW103" s="32"/>
      <c r="BX103" s="32"/>
      <c r="BY103" s="32"/>
      <c r="BZ103" s="32"/>
      <c r="CA103" s="32"/>
      <c r="CB103" s="32"/>
      <c r="CC103" s="32"/>
      <c r="CD103" s="32"/>
      <c r="CE103" s="32"/>
      <c r="CF103" s="32"/>
      <c r="CG103" s="32"/>
      <c r="CH103" s="32"/>
      <c r="CI103" s="32"/>
      <c r="CJ103" s="32"/>
      <c r="CK103" s="32"/>
      <c r="CL103" s="32"/>
      <c r="CM103" s="32"/>
      <c r="CN103" s="32"/>
      <c r="CO103" s="32"/>
      <c r="CP103" s="32"/>
      <c r="CQ103" s="32"/>
      <c r="CR103" s="32"/>
      <c r="CS103" s="32"/>
      <c r="CT103" s="32"/>
      <c r="CU103" s="32"/>
      <c r="CV103" s="32"/>
      <c r="CW103" s="32"/>
      <c r="CX103" s="32"/>
      <c r="CY103" s="32"/>
      <c r="CZ103" s="32"/>
      <c r="DA103" s="32"/>
      <c r="DB103" s="32"/>
      <c r="DC103" s="32"/>
      <c r="DD103" s="32"/>
      <c r="DE103" s="32"/>
      <c r="DF103" s="32"/>
      <c r="DG103" s="32"/>
      <c r="DH103" s="32"/>
      <c r="DI103" s="32"/>
      <c r="DJ103" s="35"/>
      <c r="DK103" s="35"/>
      <c r="DL103" s="35"/>
      <c r="DM103" s="35"/>
      <c r="DN103" s="35"/>
      <c r="DO103" s="35"/>
      <c r="DP103" s="35"/>
      <c r="DQ103" s="35"/>
      <c r="DR103" s="35"/>
      <c r="DS103" s="35"/>
      <c r="DT103" s="35"/>
    </row>
    <row r="104" spans="1:124">
      <c r="A104" s="81"/>
      <c r="B104" s="82"/>
      <c r="C104" s="82"/>
      <c r="D104" s="82"/>
      <c r="E104" s="82"/>
      <c r="F104" s="82"/>
      <c r="G104" s="82"/>
      <c r="H104" s="82"/>
      <c r="I104" s="82"/>
      <c r="J104" s="82"/>
      <c r="K104" s="82"/>
      <c r="L104" s="82"/>
      <c r="M104" s="31"/>
      <c r="N104" s="81"/>
      <c r="O104" s="82"/>
      <c r="P104" s="82"/>
      <c r="Q104" s="82"/>
      <c r="R104" s="82"/>
      <c r="S104" s="82"/>
      <c r="T104" s="82"/>
      <c r="U104" s="82"/>
      <c r="V104" s="82"/>
      <c r="W104" s="82"/>
      <c r="X104" s="82"/>
      <c r="Y104" s="82"/>
      <c r="Z104" s="82"/>
      <c r="AA104" s="31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32"/>
      <c r="BD104" s="32"/>
      <c r="BE104" s="32"/>
      <c r="BF104" s="32"/>
      <c r="BG104" s="32"/>
      <c r="BH104" s="32"/>
      <c r="BI104" s="32"/>
      <c r="BJ104" s="32"/>
      <c r="BK104" s="32"/>
      <c r="BL104" s="32"/>
      <c r="BM104" s="32"/>
      <c r="BN104" s="32"/>
      <c r="BO104" s="32"/>
      <c r="BP104" s="32"/>
      <c r="BQ104" s="32"/>
      <c r="BR104" s="32"/>
      <c r="BS104" s="32"/>
      <c r="BT104" s="32"/>
      <c r="BU104" s="32"/>
      <c r="BV104" s="32"/>
      <c r="BW104" s="32"/>
      <c r="BX104" s="32"/>
      <c r="BY104" s="32"/>
      <c r="BZ104" s="32"/>
      <c r="CA104" s="32"/>
      <c r="CB104" s="32"/>
      <c r="CC104" s="32"/>
      <c r="CD104" s="32"/>
      <c r="CE104" s="32"/>
      <c r="CF104" s="32"/>
      <c r="CG104" s="32"/>
      <c r="CH104" s="32"/>
      <c r="CI104" s="32"/>
      <c r="CJ104" s="32"/>
      <c r="CK104" s="32"/>
      <c r="CL104" s="32"/>
      <c r="CM104" s="32"/>
      <c r="CN104" s="32"/>
      <c r="CO104" s="32"/>
      <c r="CP104" s="32"/>
      <c r="CQ104" s="32"/>
      <c r="CR104" s="32"/>
      <c r="CS104" s="32"/>
      <c r="CT104" s="32"/>
      <c r="CU104" s="32"/>
      <c r="CV104" s="32"/>
      <c r="CW104" s="32"/>
      <c r="CX104" s="32"/>
      <c r="CY104" s="32"/>
      <c r="CZ104" s="32"/>
      <c r="DA104" s="32"/>
      <c r="DB104" s="32"/>
      <c r="DC104" s="32"/>
      <c r="DD104" s="32"/>
      <c r="DE104" s="32"/>
      <c r="DF104" s="32"/>
      <c r="DG104" s="32"/>
      <c r="DH104" s="32"/>
      <c r="DI104" s="32"/>
      <c r="DJ104" s="35"/>
      <c r="DK104" s="35"/>
      <c r="DL104" s="35"/>
      <c r="DM104" s="35"/>
      <c r="DN104" s="35"/>
      <c r="DO104" s="35"/>
      <c r="DP104" s="35"/>
      <c r="DQ104" s="35"/>
      <c r="DR104" s="35"/>
      <c r="DS104" s="35"/>
      <c r="DT104" s="35"/>
    </row>
    <row r="105" spans="1:124">
      <c r="A105" s="81"/>
      <c r="B105" s="82"/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31"/>
      <c r="N105" s="81"/>
      <c r="O105" s="82"/>
      <c r="P105" s="82"/>
      <c r="Q105" s="82"/>
      <c r="R105" s="82"/>
      <c r="S105" s="82"/>
      <c r="T105" s="82"/>
      <c r="U105" s="82"/>
      <c r="V105" s="82"/>
      <c r="W105" s="82"/>
      <c r="X105" s="82"/>
      <c r="Y105" s="82"/>
      <c r="Z105" s="82"/>
      <c r="AA105" s="31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  <c r="AW105" s="32"/>
      <c r="AX105" s="32"/>
      <c r="AY105" s="32"/>
      <c r="AZ105" s="32"/>
      <c r="BA105" s="32"/>
      <c r="BB105" s="32"/>
      <c r="BC105" s="32"/>
      <c r="BD105" s="32"/>
      <c r="BE105" s="32"/>
      <c r="BF105" s="32"/>
      <c r="BG105" s="32"/>
      <c r="BH105" s="32"/>
      <c r="BI105" s="32"/>
      <c r="BJ105" s="32"/>
      <c r="BK105" s="32"/>
      <c r="BL105" s="32"/>
      <c r="BM105" s="32"/>
      <c r="BN105" s="32"/>
      <c r="BO105" s="32"/>
      <c r="BP105" s="32"/>
      <c r="BQ105" s="32"/>
      <c r="BR105" s="32"/>
      <c r="BS105" s="32"/>
      <c r="BT105" s="32"/>
      <c r="BU105" s="32"/>
      <c r="BV105" s="32"/>
      <c r="BW105" s="32"/>
      <c r="BX105" s="32"/>
      <c r="BY105" s="32"/>
      <c r="BZ105" s="32"/>
      <c r="CA105" s="32"/>
      <c r="CB105" s="32"/>
      <c r="CC105" s="32"/>
      <c r="CD105" s="32"/>
      <c r="CE105" s="32"/>
      <c r="CF105" s="32"/>
      <c r="CG105" s="32"/>
      <c r="CH105" s="32"/>
      <c r="CI105" s="32"/>
      <c r="CJ105" s="32"/>
      <c r="CK105" s="32"/>
      <c r="CL105" s="32"/>
      <c r="CM105" s="32"/>
      <c r="CN105" s="32"/>
      <c r="CO105" s="32"/>
      <c r="CP105" s="32"/>
      <c r="CQ105" s="32"/>
      <c r="CR105" s="32"/>
      <c r="CS105" s="32"/>
      <c r="CT105" s="32"/>
      <c r="CU105" s="32"/>
      <c r="CV105" s="32"/>
      <c r="CW105" s="32"/>
      <c r="CX105" s="32"/>
      <c r="CY105" s="32"/>
      <c r="CZ105" s="32"/>
      <c r="DA105" s="32"/>
      <c r="DB105" s="32"/>
      <c r="DC105" s="32"/>
      <c r="DD105" s="32"/>
      <c r="DE105" s="32"/>
      <c r="DF105" s="32"/>
      <c r="DG105" s="32"/>
      <c r="DH105" s="32"/>
      <c r="DI105" s="32"/>
      <c r="DJ105" s="35"/>
      <c r="DK105" s="35"/>
      <c r="DL105" s="35"/>
      <c r="DM105" s="35"/>
      <c r="DN105" s="35"/>
      <c r="DO105" s="35"/>
      <c r="DP105" s="35"/>
      <c r="DQ105" s="35"/>
      <c r="DR105" s="35"/>
      <c r="DS105" s="35"/>
      <c r="DT105" s="35"/>
    </row>
    <row r="106" spans="1:124">
      <c r="A106" s="81"/>
      <c r="B106" s="82"/>
      <c r="C106" s="82"/>
      <c r="D106" s="82"/>
      <c r="E106" s="82"/>
      <c r="F106" s="82"/>
      <c r="G106" s="82"/>
      <c r="H106" s="82"/>
      <c r="I106" s="82"/>
      <c r="J106" s="82"/>
      <c r="K106" s="82"/>
      <c r="L106" s="82"/>
      <c r="M106" s="31"/>
      <c r="N106" s="81"/>
      <c r="O106" s="82"/>
      <c r="P106" s="82"/>
      <c r="Q106" s="82"/>
      <c r="R106" s="82"/>
      <c r="S106" s="82"/>
      <c r="T106" s="82"/>
      <c r="U106" s="82"/>
      <c r="V106" s="82"/>
      <c r="W106" s="82"/>
      <c r="X106" s="82"/>
      <c r="Y106" s="82"/>
      <c r="Z106" s="82"/>
      <c r="AA106" s="31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32"/>
      <c r="AX106" s="32"/>
      <c r="AY106" s="32"/>
      <c r="AZ106" s="32"/>
      <c r="BA106" s="32"/>
      <c r="BB106" s="32"/>
      <c r="BC106" s="32"/>
      <c r="BD106" s="32"/>
      <c r="BE106" s="32"/>
      <c r="BF106" s="32"/>
      <c r="BG106" s="32"/>
      <c r="BH106" s="32"/>
      <c r="BI106" s="32"/>
      <c r="BJ106" s="32"/>
      <c r="BK106" s="32"/>
      <c r="BL106" s="32"/>
      <c r="BM106" s="32"/>
      <c r="BN106" s="32"/>
      <c r="BO106" s="32"/>
      <c r="BP106" s="32"/>
      <c r="BQ106" s="32"/>
      <c r="BR106" s="32"/>
      <c r="BS106" s="32"/>
      <c r="BT106" s="32"/>
      <c r="BU106" s="32"/>
      <c r="BV106" s="32"/>
      <c r="BW106" s="32"/>
      <c r="BX106" s="32"/>
      <c r="BY106" s="32"/>
      <c r="BZ106" s="32"/>
      <c r="CA106" s="32"/>
      <c r="CB106" s="32"/>
      <c r="CC106" s="32"/>
      <c r="CD106" s="32"/>
      <c r="CE106" s="32"/>
      <c r="CF106" s="32"/>
      <c r="CG106" s="32"/>
      <c r="CH106" s="32"/>
      <c r="CI106" s="32"/>
      <c r="CJ106" s="32"/>
      <c r="CK106" s="32"/>
      <c r="CL106" s="32"/>
      <c r="CM106" s="32"/>
      <c r="CN106" s="32"/>
      <c r="CO106" s="32"/>
      <c r="CP106" s="32"/>
      <c r="CQ106" s="32"/>
      <c r="CR106" s="32"/>
      <c r="CS106" s="32"/>
      <c r="CT106" s="32"/>
      <c r="CU106" s="32"/>
      <c r="CV106" s="32"/>
      <c r="CW106" s="32"/>
      <c r="CX106" s="32"/>
      <c r="CY106" s="32"/>
      <c r="CZ106" s="32"/>
      <c r="DA106" s="32"/>
      <c r="DB106" s="32"/>
      <c r="DC106" s="32"/>
      <c r="DD106" s="32"/>
      <c r="DE106" s="32"/>
      <c r="DF106" s="32"/>
      <c r="DG106" s="32"/>
      <c r="DH106" s="32"/>
      <c r="DI106" s="32"/>
      <c r="DJ106" s="35"/>
      <c r="DK106" s="35"/>
      <c r="DL106" s="35"/>
      <c r="DM106" s="35"/>
      <c r="DN106" s="35"/>
      <c r="DO106" s="35"/>
      <c r="DP106" s="35"/>
      <c r="DQ106" s="35"/>
      <c r="DR106" s="35"/>
      <c r="DS106" s="35"/>
      <c r="DT106" s="35"/>
    </row>
    <row r="107" spans="1:124">
      <c r="A107" s="81"/>
      <c r="B107" s="82"/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31"/>
      <c r="N107" s="81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31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  <c r="AU107" s="32"/>
      <c r="AV107" s="32"/>
      <c r="AW107" s="32"/>
      <c r="AX107" s="32"/>
      <c r="AY107" s="32"/>
      <c r="AZ107" s="32"/>
      <c r="BA107" s="32"/>
      <c r="BB107" s="32"/>
      <c r="BC107" s="32"/>
      <c r="BD107" s="32"/>
      <c r="BE107" s="32"/>
      <c r="BF107" s="32"/>
      <c r="BG107" s="32"/>
      <c r="BH107" s="32"/>
      <c r="BI107" s="32"/>
      <c r="BJ107" s="32"/>
      <c r="BK107" s="32"/>
      <c r="BL107" s="32"/>
      <c r="BM107" s="32"/>
      <c r="BN107" s="32"/>
      <c r="BO107" s="32"/>
      <c r="BP107" s="32"/>
      <c r="BQ107" s="32"/>
      <c r="BR107" s="32"/>
      <c r="BS107" s="32"/>
      <c r="BT107" s="32"/>
      <c r="BU107" s="32"/>
      <c r="BV107" s="32"/>
      <c r="BW107" s="32"/>
      <c r="BX107" s="32"/>
      <c r="BY107" s="32"/>
      <c r="BZ107" s="32"/>
      <c r="CA107" s="32"/>
      <c r="CB107" s="32"/>
      <c r="CC107" s="32"/>
      <c r="CD107" s="32"/>
      <c r="CE107" s="32"/>
      <c r="CF107" s="32"/>
      <c r="CG107" s="32"/>
      <c r="CH107" s="32"/>
      <c r="CI107" s="32"/>
      <c r="CJ107" s="32"/>
      <c r="CK107" s="32"/>
      <c r="CL107" s="32"/>
      <c r="CM107" s="32"/>
      <c r="CN107" s="32"/>
      <c r="CO107" s="32"/>
      <c r="CP107" s="32"/>
      <c r="CQ107" s="32"/>
      <c r="CR107" s="32"/>
      <c r="CS107" s="32"/>
      <c r="CT107" s="32"/>
      <c r="CU107" s="32"/>
      <c r="CV107" s="32"/>
      <c r="CW107" s="32"/>
      <c r="CX107" s="32"/>
      <c r="CY107" s="32"/>
      <c r="CZ107" s="32"/>
      <c r="DA107" s="32"/>
      <c r="DB107" s="32"/>
      <c r="DC107" s="32"/>
      <c r="DD107" s="32"/>
      <c r="DE107" s="32"/>
      <c r="DF107" s="32"/>
      <c r="DG107" s="32"/>
      <c r="DH107" s="32"/>
      <c r="DI107" s="32"/>
      <c r="DJ107" s="35"/>
      <c r="DK107" s="35"/>
      <c r="DL107" s="35"/>
      <c r="DM107" s="35"/>
      <c r="DN107" s="35"/>
      <c r="DO107" s="35"/>
      <c r="DP107" s="35"/>
      <c r="DQ107" s="35"/>
      <c r="DR107" s="35"/>
      <c r="DS107" s="35"/>
      <c r="DT107" s="35"/>
    </row>
    <row r="108" spans="1:124">
      <c r="A108" s="81"/>
      <c r="B108" s="82"/>
      <c r="C108" s="82"/>
      <c r="D108" s="82"/>
      <c r="E108" s="82"/>
      <c r="F108" s="82"/>
      <c r="G108" s="82"/>
      <c r="H108" s="82"/>
      <c r="I108" s="82"/>
      <c r="J108" s="82"/>
      <c r="K108" s="82"/>
      <c r="L108" s="82"/>
      <c r="M108" s="31"/>
      <c r="N108" s="81"/>
      <c r="O108" s="82"/>
      <c r="P108" s="82"/>
      <c r="Q108" s="82"/>
      <c r="R108" s="82"/>
      <c r="S108" s="82"/>
      <c r="T108" s="82"/>
      <c r="U108" s="82"/>
      <c r="V108" s="82"/>
      <c r="W108" s="82"/>
      <c r="X108" s="82"/>
      <c r="Y108" s="82"/>
      <c r="Z108" s="82"/>
      <c r="AA108" s="31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  <c r="AU108" s="32"/>
      <c r="AV108" s="32"/>
      <c r="AW108" s="32"/>
      <c r="AX108" s="32"/>
      <c r="AY108" s="32"/>
      <c r="AZ108" s="32"/>
      <c r="BA108" s="32"/>
      <c r="BB108" s="32"/>
      <c r="BC108" s="32"/>
      <c r="BD108" s="32"/>
      <c r="BE108" s="32"/>
      <c r="BF108" s="32"/>
      <c r="BG108" s="32"/>
      <c r="BH108" s="32"/>
      <c r="BI108" s="32"/>
      <c r="BJ108" s="32"/>
      <c r="BK108" s="32"/>
      <c r="BL108" s="32"/>
      <c r="BM108" s="32"/>
      <c r="BN108" s="32"/>
      <c r="BO108" s="32"/>
      <c r="BP108" s="32"/>
      <c r="BQ108" s="32"/>
      <c r="BR108" s="32"/>
      <c r="BS108" s="32"/>
      <c r="BT108" s="32"/>
      <c r="BU108" s="32"/>
      <c r="BV108" s="32"/>
      <c r="BW108" s="32"/>
      <c r="BX108" s="32"/>
      <c r="BY108" s="32"/>
      <c r="BZ108" s="32"/>
      <c r="CA108" s="32"/>
      <c r="CB108" s="32"/>
      <c r="CC108" s="32"/>
      <c r="CD108" s="32"/>
      <c r="CE108" s="32"/>
      <c r="CF108" s="32"/>
      <c r="CG108" s="32"/>
      <c r="CH108" s="32"/>
      <c r="CI108" s="32"/>
      <c r="CJ108" s="32"/>
      <c r="CK108" s="32"/>
      <c r="CL108" s="32"/>
      <c r="CM108" s="32"/>
      <c r="CN108" s="32"/>
      <c r="CO108" s="32"/>
      <c r="CP108" s="32"/>
      <c r="CQ108" s="32"/>
      <c r="CR108" s="32"/>
      <c r="CS108" s="32"/>
      <c r="CT108" s="32"/>
      <c r="CU108" s="32"/>
      <c r="CV108" s="32"/>
      <c r="CW108" s="32"/>
      <c r="CX108" s="32"/>
      <c r="CY108" s="32"/>
      <c r="CZ108" s="32"/>
      <c r="DA108" s="32"/>
      <c r="DB108" s="32"/>
      <c r="DC108" s="32"/>
      <c r="DD108" s="32"/>
      <c r="DE108" s="32"/>
      <c r="DF108" s="32"/>
      <c r="DG108" s="32"/>
      <c r="DH108" s="32"/>
      <c r="DI108" s="32"/>
      <c r="DJ108" s="35"/>
      <c r="DK108" s="35"/>
      <c r="DL108" s="35"/>
      <c r="DM108" s="35"/>
      <c r="DN108" s="35"/>
      <c r="DO108" s="35"/>
      <c r="DP108" s="35"/>
      <c r="DQ108" s="35"/>
      <c r="DR108" s="35"/>
      <c r="DS108" s="35"/>
      <c r="DT108" s="35"/>
    </row>
    <row r="109" spans="1:124">
      <c r="A109" s="81"/>
      <c r="B109" s="82"/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31"/>
      <c r="N109" s="81"/>
      <c r="O109" s="82"/>
      <c r="P109" s="82"/>
      <c r="Q109" s="82"/>
      <c r="R109" s="82"/>
      <c r="S109" s="82"/>
      <c r="T109" s="82"/>
      <c r="U109" s="82"/>
      <c r="V109" s="82"/>
      <c r="W109" s="82"/>
      <c r="X109" s="82"/>
      <c r="Y109" s="82"/>
      <c r="Z109" s="82"/>
      <c r="AA109" s="31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  <c r="AZ109" s="32"/>
      <c r="BA109" s="32"/>
      <c r="BB109" s="32"/>
      <c r="BC109" s="32"/>
      <c r="BD109" s="32"/>
      <c r="BE109" s="32"/>
      <c r="BF109" s="32"/>
      <c r="BG109" s="32"/>
      <c r="BH109" s="32"/>
      <c r="BI109" s="32"/>
      <c r="BJ109" s="32"/>
      <c r="BK109" s="32"/>
      <c r="BL109" s="32"/>
      <c r="BM109" s="32"/>
      <c r="BN109" s="32"/>
      <c r="BO109" s="32"/>
      <c r="BP109" s="32"/>
      <c r="BQ109" s="32"/>
      <c r="BR109" s="32"/>
      <c r="BS109" s="32"/>
      <c r="BT109" s="32"/>
      <c r="BU109" s="32"/>
      <c r="BV109" s="32"/>
      <c r="BW109" s="32"/>
      <c r="BX109" s="32"/>
      <c r="BY109" s="32"/>
      <c r="BZ109" s="32"/>
      <c r="CA109" s="32"/>
      <c r="CB109" s="32"/>
      <c r="CC109" s="32"/>
      <c r="CD109" s="32"/>
      <c r="CE109" s="32"/>
      <c r="CF109" s="32"/>
      <c r="CG109" s="32"/>
      <c r="CH109" s="32"/>
      <c r="CI109" s="32"/>
      <c r="CJ109" s="32"/>
      <c r="CK109" s="32"/>
      <c r="CL109" s="32"/>
      <c r="CM109" s="32"/>
      <c r="CN109" s="32"/>
      <c r="CO109" s="32"/>
      <c r="CP109" s="32"/>
      <c r="CQ109" s="32"/>
      <c r="CR109" s="32"/>
      <c r="CS109" s="32"/>
      <c r="CT109" s="32"/>
      <c r="CU109" s="32"/>
      <c r="CV109" s="32"/>
      <c r="CW109" s="32"/>
      <c r="CX109" s="32"/>
      <c r="CY109" s="32"/>
      <c r="CZ109" s="32"/>
      <c r="DA109" s="32"/>
      <c r="DB109" s="32"/>
      <c r="DC109" s="32"/>
      <c r="DD109" s="32"/>
      <c r="DE109" s="32"/>
      <c r="DF109" s="32"/>
      <c r="DG109" s="32"/>
      <c r="DH109" s="32"/>
      <c r="DI109" s="32"/>
      <c r="DJ109" s="35"/>
      <c r="DK109" s="35"/>
      <c r="DL109" s="35"/>
      <c r="DM109" s="35"/>
      <c r="DN109" s="35"/>
      <c r="DO109" s="35"/>
      <c r="DP109" s="35"/>
      <c r="DQ109" s="35"/>
      <c r="DR109" s="35"/>
      <c r="DS109" s="35"/>
      <c r="DT109" s="35"/>
    </row>
    <row r="110" spans="1:124">
      <c r="A110" s="81"/>
      <c r="B110" s="82"/>
      <c r="C110" s="82"/>
      <c r="D110" s="82"/>
      <c r="E110" s="82"/>
      <c r="F110" s="82"/>
      <c r="G110" s="82"/>
      <c r="H110" s="82"/>
      <c r="I110" s="82"/>
      <c r="J110" s="82"/>
      <c r="K110" s="82"/>
      <c r="L110" s="82"/>
      <c r="M110" s="31"/>
      <c r="N110" s="81"/>
      <c r="O110" s="82"/>
      <c r="P110" s="82"/>
      <c r="Q110" s="82"/>
      <c r="R110" s="82"/>
      <c r="S110" s="82"/>
      <c r="T110" s="82"/>
      <c r="U110" s="82"/>
      <c r="V110" s="82"/>
      <c r="W110" s="82"/>
      <c r="X110" s="82"/>
      <c r="Y110" s="82"/>
      <c r="Z110" s="82"/>
      <c r="AA110" s="31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  <c r="BA110" s="32"/>
      <c r="BB110" s="32"/>
      <c r="BC110" s="32"/>
      <c r="BD110" s="32"/>
      <c r="BE110" s="32"/>
      <c r="BF110" s="32"/>
      <c r="BG110" s="32"/>
      <c r="BH110" s="32"/>
      <c r="BI110" s="32"/>
      <c r="BJ110" s="32"/>
      <c r="BK110" s="32"/>
      <c r="BL110" s="32"/>
      <c r="BM110" s="32"/>
      <c r="BN110" s="32"/>
      <c r="BO110" s="32"/>
      <c r="BP110" s="32"/>
      <c r="BQ110" s="32"/>
      <c r="BR110" s="32"/>
      <c r="BS110" s="32"/>
      <c r="BT110" s="32"/>
      <c r="BU110" s="32"/>
      <c r="BV110" s="32"/>
      <c r="BW110" s="32"/>
      <c r="BX110" s="32"/>
      <c r="BY110" s="32"/>
      <c r="BZ110" s="32"/>
      <c r="CA110" s="32"/>
      <c r="CB110" s="32"/>
      <c r="CC110" s="32"/>
      <c r="CD110" s="32"/>
      <c r="CE110" s="32"/>
      <c r="CF110" s="32"/>
      <c r="CG110" s="32"/>
      <c r="CH110" s="32"/>
      <c r="CI110" s="32"/>
      <c r="CJ110" s="32"/>
      <c r="CK110" s="32"/>
      <c r="CL110" s="32"/>
      <c r="CM110" s="32"/>
      <c r="CN110" s="32"/>
      <c r="CO110" s="32"/>
      <c r="CP110" s="32"/>
      <c r="CQ110" s="32"/>
      <c r="CR110" s="32"/>
      <c r="CS110" s="32"/>
      <c r="CT110" s="32"/>
      <c r="CU110" s="32"/>
      <c r="CV110" s="32"/>
      <c r="CW110" s="32"/>
      <c r="CX110" s="32"/>
      <c r="CY110" s="32"/>
      <c r="CZ110" s="32"/>
      <c r="DA110" s="32"/>
      <c r="DB110" s="32"/>
      <c r="DC110" s="32"/>
      <c r="DD110" s="32"/>
      <c r="DE110" s="32"/>
      <c r="DF110" s="32"/>
      <c r="DG110" s="32"/>
      <c r="DH110" s="32"/>
      <c r="DI110" s="32"/>
      <c r="DJ110" s="35"/>
      <c r="DK110" s="35"/>
      <c r="DL110" s="35"/>
      <c r="DM110" s="35"/>
      <c r="DN110" s="35"/>
      <c r="DO110" s="35"/>
      <c r="DP110" s="35"/>
      <c r="DQ110" s="35"/>
      <c r="DR110" s="35"/>
      <c r="DS110" s="35"/>
      <c r="DT110" s="35"/>
    </row>
    <row r="111" spans="1:124">
      <c r="A111" s="81"/>
      <c r="B111" s="82"/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31"/>
      <c r="N111" s="81"/>
      <c r="O111" s="82"/>
      <c r="P111" s="82"/>
      <c r="Q111" s="82"/>
      <c r="R111" s="82"/>
      <c r="S111" s="82"/>
      <c r="T111" s="82"/>
      <c r="U111" s="82"/>
      <c r="V111" s="82"/>
      <c r="W111" s="82"/>
      <c r="X111" s="82"/>
      <c r="Y111" s="82"/>
      <c r="Z111" s="82"/>
      <c r="AA111" s="31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  <c r="AU111" s="32"/>
      <c r="AV111" s="32"/>
      <c r="AW111" s="32"/>
      <c r="AX111" s="32"/>
      <c r="AY111" s="32"/>
      <c r="AZ111" s="32"/>
      <c r="BA111" s="32"/>
      <c r="BB111" s="32"/>
      <c r="BC111" s="32"/>
      <c r="BD111" s="32"/>
      <c r="BE111" s="32"/>
      <c r="BF111" s="32"/>
      <c r="BG111" s="32"/>
      <c r="BH111" s="32"/>
      <c r="BI111" s="32"/>
      <c r="BJ111" s="32"/>
      <c r="BK111" s="32"/>
      <c r="BL111" s="32"/>
      <c r="BM111" s="32"/>
      <c r="BN111" s="32"/>
      <c r="BO111" s="32"/>
      <c r="BP111" s="32"/>
      <c r="BQ111" s="32"/>
      <c r="BR111" s="32"/>
      <c r="BS111" s="32"/>
      <c r="BT111" s="32"/>
      <c r="BU111" s="32"/>
      <c r="BV111" s="32"/>
      <c r="BW111" s="32"/>
      <c r="BX111" s="32"/>
      <c r="BY111" s="32"/>
      <c r="BZ111" s="32"/>
      <c r="CA111" s="32"/>
      <c r="CB111" s="32"/>
      <c r="CC111" s="32"/>
      <c r="CD111" s="32"/>
      <c r="CE111" s="32"/>
      <c r="CF111" s="32"/>
      <c r="CG111" s="32"/>
      <c r="CH111" s="32"/>
      <c r="CI111" s="32"/>
      <c r="CJ111" s="32"/>
      <c r="CK111" s="32"/>
      <c r="CL111" s="32"/>
      <c r="CM111" s="32"/>
      <c r="CN111" s="32"/>
      <c r="CO111" s="32"/>
      <c r="CP111" s="32"/>
      <c r="CQ111" s="32"/>
      <c r="CR111" s="32"/>
      <c r="CS111" s="32"/>
      <c r="CT111" s="32"/>
      <c r="CU111" s="32"/>
      <c r="CV111" s="32"/>
      <c r="CW111" s="32"/>
      <c r="CX111" s="32"/>
      <c r="CY111" s="32"/>
      <c r="CZ111" s="32"/>
      <c r="DA111" s="32"/>
      <c r="DB111" s="32"/>
      <c r="DC111" s="32"/>
      <c r="DD111" s="32"/>
      <c r="DE111" s="32"/>
      <c r="DF111" s="32"/>
      <c r="DG111" s="32"/>
      <c r="DH111" s="32"/>
      <c r="DI111" s="32"/>
      <c r="DJ111" s="35"/>
      <c r="DK111" s="35"/>
      <c r="DL111" s="35"/>
      <c r="DM111" s="35"/>
      <c r="DN111" s="35"/>
      <c r="DO111" s="35"/>
      <c r="DP111" s="35"/>
      <c r="DQ111" s="35"/>
      <c r="DR111" s="35"/>
      <c r="DS111" s="35"/>
      <c r="DT111" s="35"/>
    </row>
    <row r="112" spans="1:124">
      <c r="A112" s="81"/>
      <c r="B112" s="82"/>
      <c r="C112" s="82"/>
      <c r="D112" s="82"/>
      <c r="E112" s="82"/>
      <c r="F112" s="82"/>
      <c r="G112" s="82"/>
      <c r="H112" s="82"/>
      <c r="I112" s="82"/>
      <c r="J112" s="82"/>
      <c r="K112" s="82"/>
      <c r="L112" s="82"/>
      <c r="M112" s="31"/>
      <c r="N112" s="81"/>
      <c r="O112" s="82"/>
      <c r="P112" s="82"/>
      <c r="Q112" s="82"/>
      <c r="R112" s="82"/>
      <c r="S112" s="82"/>
      <c r="T112" s="82"/>
      <c r="U112" s="82"/>
      <c r="V112" s="82"/>
      <c r="W112" s="82"/>
      <c r="X112" s="82"/>
      <c r="Y112" s="82"/>
      <c r="Z112" s="82"/>
      <c r="AA112" s="31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  <c r="AU112" s="32"/>
      <c r="AV112" s="32"/>
      <c r="AW112" s="32"/>
      <c r="AX112" s="32"/>
      <c r="AY112" s="32"/>
      <c r="AZ112" s="32"/>
      <c r="BA112" s="32"/>
      <c r="BB112" s="32"/>
      <c r="BC112" s="32"/>
      <c r="BD112" s="32"/>
      <c r="BE112" s="32"/>
      <c r="BF112" s="32"/>
      <c r="BG112" s="32"/>
      <c r="BH112" s="32"/>
      <c r="BI112" s="32"/>
      <c r="BJ112" s="32"/>
      <c r="BK112" s="32"/>
      <c r="BL112" s="32"/>
      <c r="BM112" s="32"/>
      <c r="BN112" s="32"/>
      <c r="BO112" s="32"/>
      <c r="BP112" s="32"/>
      <c r="BQ112" s="32"/>
      <c r="BR112" s="32"/>
      <c r="BS112" s="32"/>
      <c r="BT112" s="32"/>
      <c r="BU112" s="32"/>
      <c r="BV112" s="32"/>
      <c r="BW112" s="32"/>
      <c r="BX112" s="32"/>
      <c r="BY112" s="32"/>
      <c r="BZ112" s="32"/>
      <c r="CA112" s="32"/>
      <c r="CB112" s="32"/>
      <c r="CC112" s="32"/>
      <c r="CD112" s="32"/>
      <c r="CE112" s="32"/>
      <c r="CF112" s="32"/>
      <c r="CG112" s="32"/>
      <c r="CH112" s="32"/>
      <c r="CI112" s="32"/>
      <c r="CJ112" s="32"/>
      <c r="CK112" s="32"/>
      <c r="CL112" s="32"/>
      <c r="CM112" s="32"/>
      <c r="CN112" s="32"/>
      <c r="CO112" s="32"/>
      <c r="CP112" s="32"/>
      <c r="CQ112" s="32"/>
      <c r="CR112" s="32"/>
      <c r="CS112" s="32"/>
      <c r="CT112" s="32"/>
      <c r="CU112" s="32"/>
      <c r="CV112" s="32"/>
      <c r="CW112" s="32"/>
      <c r="CX112" s="32"/>
      <c r="CY112" s="32"/>
      <c r="CZ112" s="32"/>
      <c r="DA112" s="32"/>
      <c r="DB112" s="32"/>
      <c r="DC112" s="32"/>
      <c r="DD112" s="32"/>
      <c r="DE112" s="32"/>
      <c r="DF112" s="32"/>
      <c r="DG112" s="32"/>
      <c r="DH112" s="32"/>
      <c r="DI112" s="32"/>
      <c r="DJ112" s="35"/>
      <c r="DK112" s="35"/>
      <c r="DL112" s="35"/>
      <c r="DM112" s="35"/>
      <c r="DN112" s="35"/>
      <c r="DO112" s="35"/>
      <c r="DP112" s="35"/>
      <c r="DQ112" s="35"/>
      <c r="DR112" s="35"/>
      <c r="DS112" s="35"/>
      <c r="DT112" s="35"/>
    </row>
    <row r="113" spans="1:124">
      <c r="A113" s="81"/>
      <c r="B113" s="82"/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31"/>
      <c r="N113" s="81"/>
      <c r="O113" s="82"/>
      <c r="P113" s="82"/>
      <c r="Q113" s="82"/>
      <c r="R113" s="82"/>
      <c r="S113" s="82"/>
      <c r="T113" s="82"/>
      <c r="U113" s="82"/>
      <c r="V113" s="82"/>
      <c r="W113" s="82"/>
      <c r="X113" s="82"/>
      <c r="Y113" s="82"/>
      <c r="Z113" s="82"/>
      <c r="AA113" s="31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  <c r="AR113" s="32"/>
      <c r="AS113" s="32"/>
      <c r="AT113" s="32"/>
      <c r="AU113" s="32"/>
      <c r="AV113" s="32"/>
      <c r="AW113" s="32"/>
      <c r="AX113" s="32"/>
      <c r="AY113" s="32"/>
      <c r="AZ113" s="32"/>
      <c r="BA113" s="32"/>
      <c r="BB113" s="32"/>
      <c r="BC113" s="32"/>
      <c r="BD113" s="32"/>
      <c r="BE113" s="32"/>
      <c r="BF113" s="32"/>
      <c r="BG113" s="32"/>
      <c r="BH113" s="32"/>
      <c r="BI113" s="32"/>
      <c r="BJ113" s="32"/>
      <c r="BK113" s="32"/>
      <c r="BL113" s="32"/>
      <c r="BM113" s="32"/>
      <c r="BN113" s="32"/>
      <c r="BO113" s="32"/>
      <c r="BP113" s="32"/>
      <c r="BQ113" s="32"/>
      <c r="BR113" s="32"/>
      <c r="BS113" s="32"/>
      <c r="BT113" s="32"/>
      <c r="BU113" s="32"/>
      <c r="BV113" s="32"/>
      <c r="BW113" s="32"/>
      <c r="BX113" s="32"/>
      <c r="BY113" s="32"/>
      <c r="BZ113" s="32"/>
      <c r="CA113" s="32"/>
      <c r="CB113" s="32"/>
      <c r="CC113" s="32"/>
      <c r="CD113" s="32"/>
      <c r="CE113" s="32"/>
      <c r="CF113" s="32"/>
      <c r="CG113" s="32"/>
      <c r="CH113" s="32"/>
      <c r="CI113" s="32"/>
      <c r="CJ113" s="32"/>
      <c r="CK113" s="32"/>
      <c r="CL113" s="32"/>
      <c r="CM113" s="32"/>
      <c r="CN113" s="32"/>
      <c r="CO113" s="32"/>
      <c r="CP113" s="32"/>
      <c r="CQ113" s="32"/>
      <c r="CR113" s="32"/>
      <c r="CS113" s="32"/>
      <c r="CT113" s="32"/>
      <c r="CU113" s="32"/>
      <c r="CV113" s="32"/>
      <c r="CW113" s="32"/>
      <c r="CX113" s="32"/>
      <c r="CY113" s="32"/>
      <c r="CZ113" s="32"/>
      <c r="DA113" s="32"/>
      <c r="DB113" s="32"/>
      <c r="DC113" s="32"/>
      <c r="DD113" s="32"/>
      <c r="DE113" s="32"/>
      <c r="DF113" s="32"/>
      <c r="DG113" s="32"/>
      <c r="DH113" s="32"/>
      <c r="DI113" s="32"/>
      <c r="DJ113" s="35"/>
      <c r="DK113" s="35"/>
      <c r="DL113" s="35"/>
      <c r="DM113" s="35"/>
      <c r="DN113" s="35"/>
      <c r="DO113" s="35"/>
      <c r="DP113" s="35"/>
      <c r="DQ113" s="35"/>
      <c r="DR113" s="35"/>
      <c r="DS113" s="35"/>
      <c r="DT113" s="35"/>
    </row>
    <row r="114" spans="1:124">
      <c r="A114" s="81"/>
      <c r="B114" s="82"/>
      <c r="C114" s="82"/>
      <c r="D114" s="82"/>
      <c r="E114" s="82"/>
      <c r="F114" s="82"/>
      <c r="G114" s="82"/>
      <c r="H114" s="82"/>
      <c r="I114" s="82"/>
      <c r="J114" s="82"/>
      <c r="K114" s="82"/>
      <c r="L114" s="82"/>
      <c r="M114" s="31"/>
      <c r="N114" s="81"/>
      <c r="O114" s="82"/>
      <c r="P114" s="82"/>
      <c r="Q114" s="82"/>
      <c r="R114" s="82"/>
      <c r="S114" s="82"/>
      <c r="T114" s="82"/>
      <c r="U114" s="82"/>
      <c r="V114" s="82"/>
      <c r="W114" s="82"/>
      <c r="X114" s="82"/>
      <c r="Y114" s="82"/>
      <c r="Z114" s="82"/>
      <c r="AA114" s="31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  <c r="AS114" s="32"/>
      <c r="AT114" s="32"/>
      <c r="AU114" s="32"/>
      <c r="AV114" s="32"/>
      <c r="AW114" s="32"/>
      <c r="AX114" s="32"/>
      <c r="AY114" s="32"/>
      <c r="AZ114" s="32"/>
      <c r="BA114" s="32"/>
      <c r="BB114" s="32"/>
      <c r="BC114" s="32"/>
      <c r="BD114" s="32"/>
      <c r="BE114" s="32"/>
      <c r="BF114" s="32"/>
      <c r="BG114" s="32"/>
      <c r="BH114" s="32"/>
      <c r="BI114" s="32"/>
      <c r="BJ114" s="32"/>
      <c r="BK114" s="32"/>
      <c r="BL114" s="32"/>
      <c r="BM114" s="32"/>
      <c r="BN114" s="32"/>
      <c r="BO114" s="32"/>
      <c r="BP114" s="32"/>
      <c r="BQ114" s="32"/>
      <c r="BR114" s="32"/>
      <c r="BS114" s="32"/>
      <c r="BT114" s="32"/>
      <c r="BU114" s="32"/>
      <c r="BV114" s="32"/>
      <c r="BW114" s="32"/>
      <c r="BX114" s="32"/>
      <c r="BY114" s="32"/>
      <c r="BZ114" s="32"/>
      <c r="CA114" s="32"/>
      <c r="CB114" s="32"/>
      <c r="CC114" s="32"/>
      <c r="CD114" s="32"/>
      <c r="CE114" s="32"/>
      <c r="CF114" s="32"/>
      <c r="CG114" s="32"/>
      <c r="CH114" s="32"/>
      <c r="CI114" s="32"/>
      <c r="CJ114" s="32"/>
      <c r="CK114" s="32"/>
      <c r="CL114" s="32"/>
      <c r="CM114" s="32"/>
      <c r="CN114" s="32"/>
      <c r="CO114" s="32"/>
      <c r="CP114" s="32"/>
      <c r="CQ114" s="32"/>
      <c r="CR114" s="32"/>
      <c r="CS114" s="32"/>
      <c r="CT114" s="32"/>
      <c r="CU114" s="32"/>
      <c r="CV114" s="32"/>
      <c r="CW114" s="32"/>
      <c r="CX114" s="32"/>
      <c r="CY114" s="32"/>
      <c r="CZ114" s="32"/>
      <c r="DA114" s="32"/>
      <c r="DB114" s="32"/>
      <c r="DC114" s="32"/>
      <c r="DD114" s="32"/>
      <c r="DE114" s="32"/>
      <c r="DF114" s="32"/>
      <c r="DG114" s="32"/>
      <c r="DH114" s="32"/>
      <c r="DI114" s="32"/>
      <c r="DJ114" s="35"/>
      <c r="DK114" s="35"/>
      <c r="DL114" s="35"/>
      <c r="DM114" s="35"/>
      <c r="DN114" s="35"/>
      <c r="DO114" s="35"/>
      <c r="DP114" s="35"/>
      <c r="DQ114" s="35"/>
      <c r="DR114" s="35"/>
      <c r="DS114" s="35"/>
      <c r="DT114" s="35"/>
    </row>
    <row r="115" spans="1:124">
      <c r="A115" s="81"/>
      <c r="B115" s="82"/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31"/>
      <c r="N115" s="81"/>
      <c r="O115" s="82"/>
      <c r="P115" s="82"/>
      <c r="Q115" s="82"/>
      <c r="R115" s="82"/>
      <c r="S115" s="82"/>
      <c r="T115" s="82"/>
      <c r="U115" s="82"/>
      <c r="V115" s="82"/>
      <c r="W115" s="82"/>
      <c r="X115" s="82"/>
      <c r="Y115" s="82"/>
      <c r="Z115" s="82"/>
      <c r="AA115" s="31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  <c r="AU115" s="32"/>
      <c r="AV115" s="32"/>
      <c r="AW115" s="32"/>
      <c r="AX115" s="32"/>
      <c r="AY115" s="32"/>
      <c r="AZ115" s="32"/>
      <c r="BA115" s="32"/>
      <c r="BB115" s="32"/>
      <c r="BC115" s="32"/>
      <c r="BD115" s="32"/>
      <c r="BE115" s="32"/>
      <c r="BF115" s="32"/>
      <c r="BG115" s="32"/>
      <c r="BH115" s="32"/>
      <c r="BI115" s="32"/>
      <c r="BJ115" s="32"/>
      <c r="BK115" s="32"/>
      <c r="BL115" s="32"/>
      <c r="BM115" s="32"/>
      <c r="BN115" s="32"/>
      <c r="BO115" s="32"/>
      <c r="BP115" s="32"/>
      <c r="BQ115" s="32"/>
      <c r="BR115" s="32"/>
      <c r="BS115" s="32"/>
      <c r="BT115" s="32"/>
      <c r="BU115" s="32"/>
      <c r="BV115" s="32"/>
      <c r="BW115" s="32"/>
      <c r="BX115" s="32"/>
      <c r="BY115" s="32"/>
      <c r="BZ115" s="32"/>
      <c r="CA115" s="32"/>
      <c r="CB115" s="32"/>
      <c r="CC115" s="32"/>
      <c r="CD115" s="32"/>
      <c r="CE115" s="32"/>
      <c r="CF115" s="32"/>
      <c r="CG115" s="32"/>
      <c r="CH115" s="32"/>
      <c r="CI115" s="32"/>
      <c r="CJ115" s="32"/>
      <c r="CK115" s="32"/>
      <c r="CL115" s="32"/>
      <c r="CM115" s="32"/>
      <c r="CN115" s="32"/>
      <c r="CO115" s="32"/>
      <c r="CP115" s="32"/>
      <c r="CQ115" s="32"/>
      <c r="CR115" s="32"/>
      <c r="CS115" s="32"/>
      <c r="CT115" s="32"/>
      <c r="CU115" s="32"/>
      <c r="CV115" s="32"/>
      <c r="CW115" s="32"/>
      <c r="CX115" s="32"/>
      <c r="CY115" s="32"/>
      <c r="CZ115" s="32"/>
      <c r="DA115" s="32"/>
      <c r="DB115" s="32"/>
      <c r="DC115" s="32"/>
      <c r="DD115" s="32"/>
      <c r="DE115" s="32"/>
      <c r="DF115" s="32"/>
      <c r="DG115" s="32"/>
      <c r="DH115" s="32"/>
      <c r="DI115" s="32"/>
      <c r="DJ115" s="35"/>
      <c r="DK115" s="35"/>
      <c r="DL115" s="35"/>
      <c r="DM115" s="35"/>
      <c r="DN115" s="35"/>
      <c r="DO115" s="35"/>
      <c r="DP115" s="35"/>
      <c r="DQ115" s="35"/>
      <c r="DR115" s="35"/>
      <c r="DS115" s="35"/>
      <c r="DT115" s="35"/>
    </row>
    <row r="116" spans="1:124">
      <c r="A116" s="81"/>
      <c r="B116" s="82"/>
      <c r="C116" s="82"/>
      <c r="D116" s="82"/>
      <c r="E116" s="82"/>
      <c r="F116" s="82"/>
      <c r="G116" s="82"/>
      <c r="H116" s="82"/>
      <c r="I116" s="82"/>
      <c r="J116" s="82"/>
      <c r="K116" s="82"/>
      <c r="L116" s="82"/>
      <c r="M116" s="31"/>
      <c r="N116" s="81"/>
      <c r="O116" s="82"/>
      <c r="P116" s="82"/>
      <c r="Q116" s="82"/>
      <c r="R116" s="82"/>
      <c r="S116" s="82"/>
      <c r="T116" s="82"/>
      <c r="U116" s="82"/>
      <c r="V116" s="82"/>
      <c r="W116" s="82"/>
      <c r="X116" s="82"/>
      <c r="Y116" s="82"/>
      <c r="Z116" s="82"/>
      <c r="AA116" s="31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  <c r="AX116" s="32"/>
      <c r="AY116" s="32"/>
      <c r="AZ116" s="32"/>
      <c r="BA116" s="32"/>
      <c r="BB116" s="32"/>
      <c r="BC116" s="32"/>
      <c r="BD116" s="32"/>
      <c r="BE116" s="32"/>
      <c r="BF116" s="32"/>
      <c r="BG116" s="32"/>
      <c r="BH116" s="32"/>
      <c r="BI116" s="32"/>
      <c r="BJ116" s="32"/>
      <c r="BK116" s="32"/>
      <c r="BL116" s="32"/>
      <c r="BM116" s="32"/>
      <c r="BN116" s="32"/>
      <c r="BO116" s="32"/>
      <c r="BP116" s="32"/>
      <c r="BQ116" s="32"/>
      <c r="BR116" s="32"/>
      <c r="BS116" s="32"/>
      <c r="BT116" s="32"/>
      <c r="BU116" s="32"/>
      <c r="BV116" s="32"/>
      <c r="BW116" s="32"/>
      <c r="BX116" s="32"/>
      <c r="BY116" s="32"/>
      <c r="BZ116" s="32"/>
      <c r="CA116" s="32"/>
      <c r="CB116" s="32"/>
      <c r="CC116" s="32"/>
      <c r="CD116" s="32"/>
      <c r="CE116" s="32"/>
      <c r="CF116" s="32"/>
      <c r="CG116" s="32"/>
      <c r="CH116" s="32"/>
      <c r="CI116" s="32"/>
      <c r="CJ116" s="32"/>
      <c r="CK116" s="32"/>
      <c r="CL116" s="32"/>
      <c r="CM116" s="32"/>
      <c r="CN116" s="32"/>
      <c r="CO116" s="32"/>
      <c r="CP116" s="32"/>
      <c r="CQ116" s="32"/>
      <c r="CR116" s="32"/>
      <c r="CS116" s="32"/>
      <c r="CT116" s="32"/>
      <c r="CU116" s="32"/>
      <c r="CV116" s="32"/>
      <c r="CW116" s="32"/>
      <c r="CX116" s="32"/>
      <c r="CY116" s="32"/>
      <c r="CZ116" s="32"/>
      <c r="DA116" s="32"/>
      <c r="DB116" s="32"/>
      <c r="DC116" s="32"/>
      <c r="DD116" s="32"/>
      <c r="DE116" s="32"/>
      <c r="DF116" s="32"/>
      <c r="DG116" s="32"/>
      <c r="DH116" s="32"/>
      <c r="DI116" s="32"/>
      <c r="DJ116" s="35"/>
      <c r="DK116" s="35"/>
      <c r="DL116" s="35"/>
      <c r="DM116" s="35"/>
      <c r="DN116" s="35"/>
      <c r="DO116" s="35"/>
      <c r="DP116" s="35"/>
      <c r="DQ116" s="35"/>
      <c r="DR116" s="35"/>
      <c r="DS116" s="35"/>
      <c r="DT116" s="35"/>
    </row>
    <row r="117" spans="1:124">
      <c r="A117" s="81"/>
      <c r="B117" s="82"/>
      <c r="C117" s="82"/>
      <c r="D117" s="82"/>
      <c r="E117" s="82"/>
      <c r="F117" s="82"/>
      <c r="G117" s="82"/>
      <c r="H117" s="82"/>
      <c r="I117" s="82"/>
      <c r="J117" s="82"/>
      <c r="K117" s="82"/>
      <c r="L117" s="82"/>
      <c r="M117" s="31"/>
      <c r="N117" s="81"/>
      <c r="O117" s="82"/>
      <c r="P117" s="82"/>
      <c r="Q117" s="82"/>
      <c r="R117" s="82"/>
      <c r="S117" s="82"/>
      <c r="T117" s="82"/>
      <c r="U117" s="82"/>
      <c r="V117" s="82"/>
      <c r="W117" s="82"/>
      <c r="X117" s="82"/>
      <c r="Y117" s="82"/>
      <c r="Z117" s="82"/>
      <c r="AA117" s="31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  <c r="AS117" s="32"/>
      <c r="AT117" s="32"/>
      <c r="AU117" s="32"/>
      <c r="AV117" s="32"/>
      <c r="AW117" s="32"/>
      <c r="AX117" s="32"/>
      <c r="AY117" s="32"/>
      <c r="AZ117" s="32"/>
      <c r="BA117" s="32"/>
      <c r="BB117" s="32"/>
      <c r="BC117" s="32"/>
      <c r="BD117" s="32"/>
      <c r="BE117" s="32"/>
      <c r="BF117" s="32"/>
      <c r="BG117" s="32"/>
      <c r="BH117" s="32"/>
      <c r="BI117" s="32"/>
      <c r="BJ117" s="32"/>
      <c r="BK117" s="32"/>
      <c r="BL117" s="32"/>
      <c r="BM117" s="32"/>
      <c r="BN117" s="32"/>
      <c r="BO117" s="32"/>
      <c r="BP117" s="32"/>
      <c r="BQ117" s="32"/>
      <c r="BR117" s="32"/>
      <c r="BS117" s="32"/>
      <c r="BT117" s="32"/>
      <c r="BU117" s="32"/>
      <c r="BV117" s="32"/>
      <c r="BW117" s="32"/>
      <c r="BX117" s="32"/>
      <c r="BY117" s="32"/>
      <c r="BZ117" s="32"/>
      <c r="CA117" s="32"/>
      <c r="CB117" s="32"/>
      <c r="CC117" s="32"/>
      <c r="CD117" s="32"/>
      <c r="CE117" s="32"/>
      <c r="CF117" s="32"/>
      <c r="CG117" s="32"/>
      <c r="CH117" s="32"/>
      <c r="CI117" s="32"/>
      <c r="CJ117" s="32"/>
      <c r="CK117" s="32"/>
      <c r="CL117" s="32"/>
      <c r="CM117" s="32"/>
      <c r="CN117" s="32"/>
      <c r="CO117" s="32"/>
      <c r="CP117" s="32"/>
      <c r="CQ117" s="32"/>
      <c r="CR117" s="32"/>
      <c r="CS117" s="32"/>
      <c r="CT117" s="32"/>
      <c r="CU117" s="32"/>
      <c r="CV117" s="32"/>
      <c r="CW117" s="32"/>
      <c r="CX117" s="32"/>
      <c r="CY117" s="32"/>
      <c r="CZ117" s="32"/>
      <c r="DA117" s="32"/>
      <c r="DB117" s="32"/>
      <c r="DC117" s="32"/>
      <c r="DD117" s="32"/>
      <c r="DE117" s="32"/>
      <c r="DF117" s="32"/>
      <c r="DG117" s="32"/>
      <c r="DH117" s="32"/>
      <c r="DI117" s="32"/>
      <c r="DJ117" s="35"/>
      <c r="DK117" s="35"/>
      <c r="DL117" s="35"/>
      <c r="DM117" s="35"/>
      <c r="DN117" s="35"/>
      <c r="DO117" s="35"/>
      <c r="DP117" s="35"/>
      <c r="DQ117" s="35"/>
      <c r="DR117" s="35"/>
      <c r="DS117" s="35"/>
      <c r="DT117" s="35"/>
    </row>
    <row r="118" spans="1:124">
      <c r="A118" s="81"/>
      <c r="B118" s="82"/>
      <c r="C118" s="82"/>
      <c r="D118" s="82"/>
      <c r="E118" s="82"/>
      <c r="F118" s="82"/>
      <c r="G118" s="82"/>
      <c r="H118" s="82"/>
      <c r="I118" s="82"/>
      <c r="J118" s="82"/>
      <c r="K118" s="82"/>
      <c r="L118" s="82"/>
      <c r="M118" s="31"/>
      <c r="N118" s="81"/>
      <c r="O118" s="82"/>
      <c r="P118" s="82"/>
      <c r="Q118" s="82"/>
      <c r="R118" s="82"/>
      <c r="S118" s="82"/>
      <c r="T118" s="82"/>
      <c r="U118" s="82"/>
      <c r="V118" s="82"/>
      <c r="W118" s="82"/>
      <c r="X118" s="82"/>
      <c r="Y118" s="82"/>
      <c r="Z118" s="82"/>
      <c r="AA118" s="31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  <c r="AS118" s="32"/>
      <c r="AT118" s="32"/>
      <c r="AU118" s="32"/>
      <c r="AV118" s="32"/>
      <c r="AW118" s="32"/>
      <c r="AX118" s="32"/>
      <c r="AY118" s="32"/>
      <c r="AZ118" s="32"/>
      <c r="BA118" s="32"/>
      <c r="BB118" s="32"/>
      <c r="BC118" s="32"/>
      <c r="BD118" s="32"/>
      <c r="BE118" s="32"/>
      <c r="BF118" s="32"/>
      <c r="BG118" s="32"/>
      <c r="BH118" s="32"/>
      <c r="BI118" s="32"/>
      <c r="BJ118" s="32"/>
      <c r="BK118" s="32"/>
      <c r="BL118" s="32"/>
      <c r="BM118" s="32"/>
      <c r="BN118" s="32"/>
      <c r="BO118" s="32"/>
      <c r="BP118" s="32"/>
      <c r="BQ118" s="32"/>
      <c r="BR118" s="32"/>
      <c r="BS118" s="32"/>
      <c r="BT118" s="32"/>
      <c r="BU118" s="32"/>
      <c r="BV118" s="32"/>
      <c r="BW118" s="32"/>
      <c r="BX118" s="32"/>
      <c r="BY118" s="32"/>
      <c r="BZ118" s="32"/>
      <c r="CA118" s="32"/>
      <c r="CB118" s="32"/>
      <c r="CC118" s="32"/>
      <c r="CD118" s="32"/>
      <c r="CE118" s="32"/>
      <c r="CF118" s="32"/>
      <c r="CG118" s="32"/>
      <c r="CH118" s="32"/>
      <c r="CI118" s="32"/>
      <c r="CJ118" s="32"/>
      <c r="CK118" s="32"/>
      <c r="CL118" s="32"/>
      <c r="CM118" s="32"/>
      <c r="CN118" s="32"/>
      <c r="CO118" s="32"/>
      <c r="CP118" s="32"/>
      <c r="CQ118" s="32"/>
      <c r="CR118" s="32"/>
      <c r="CS118" s="32"/>
      <c r="CT118" s="32"/>
      <c r="CU118" s="32"/>
      <c r="CV118" s="32"/>
      <c r="CW118" s="32"/>
      <c r="CX118" s="32"/>
      <c r="CY118" s="32"/>
      <c r="CZ118" s="32"/>
      <c r="DA118" s="32"/>
      <c r="DB118" s="32"/>
      <c r="DC118" s="32"/>
      <c r="DD118" s="32"/>
      <c r="DE118" s="32"/>
      <c r="DF118" s="32"/>
      <c r="DG118" s="32"/>
      <c r="DH118" s="32"/>
      <c r="DI118" s="32"/>
      <c r="DJ118" s="35"/>
      <c r="DK118" s="35"/>
      <c r="DL118" s="35"/>
      <c r="DM118" s="35"/>
      <c r="DN118" s="35"/>
      <c r="DO118" s="35"/>
      <c r="DP118" s="35"/>
      <c r="DQ118" s="35"/>
      <c r="DR118" s="35"/>
      <c r="DS118" s="35"/>
      <c r="DT118" s="35"/>
    </row>
    <row r="119" spans="1:124">
      <c r="A119" s="81"/>
      <c r="B119" s="82"/>
      <c r="C119" s="82"/>
      <c r="D119" s="82"/>
      <c r="E119" s="82"/>
      <c r="F119" s="82"/>
      <c r="G119" s="82"/>
      <c r="H119" s="82"/>
      <c r="I119" s="82"/>
      <c r="J119" s="82"/>
      <c r="K119" s="82"/>
      <c r="L119" s="82"/>
      <c r="M119" s="31"/>
      <c r="N119" s="81"/>
      <c r="O119" s="82"/>
      <c r="P119" s="82"/>
      <c r="Q119" s="82"/>
      <c r="R119" s="82"/>
      <c r="S119" s="82"/>
      <c r="T119" s="82"/>
      <c r="U119" s="82"/>
      <c r="V119" s="82"/>
      <c r="W119" s="82"/>
      <c r="X119" s="82"/>
      <c r="Y119" s="82"/>
      <c r="Z119" s="82"/>
      <c r="AA119" s="31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2"/>
      <c r="AN119" s="32"/>
      <c r="AO119" s="32"/>
      <c r="AP119" s="32"/>
      <c r="AQ119" s="32"/>
      <c r="AR119" s="32"/>
      <c r="AS119" s="32"/>
      <c r="AT119" s="32"/>
      <c r="AU119" s="32"/>
      <c r="AV119" s="32"/>
      <c r="AW119" s="32"/>
      <c r="AX119" s="32"/>
      <c r="AY119" s="32"/>
      <c r="AZ119" s="32"/>
      <c r="BA119" s="32"/>
      <c r="BB119" s="32"/>
      <c r="BC119" s="32"/>
      <c r="BD119" s="32"/>
      <c r="BE119" s="32"/>
      <c r="BF119" s="32"/>
      <c r="BG119" s="32"/>
      <c r="BH119" s="32"/>
      <c r="BI119" s="32"/>
      <c r="BJ119" s="32"/>
      <c r="BK119" s="32"/>
      <c r="BL119" s="32"/>
      <c r="BM119" s="32"/>
      <c r="BN119" s="32"/>
      <c r="BO119" s="32"/>
      <c r="BP119" s="32"/>
      <c r="BQ119" s="32"/>
      <c r="BR119" s="32"/>
      <c r="BS119" s="32"/>
      <c r="BT119" s="32"/>
      <c r="BU119" s="32"/>
      <c r="BV119" s="32"/>
      <c r="BW119" s="32"/>
      <c r="BX119" s="32"/>
      <c r="BY119" s="32"/>
      <c r="BZ119" s="32"/>
      <c r="CA119" s="32"/>
      <c r="CB119" s="32"/>
      <c r="CC119" s="32"/>
      <c r="CD119" s="32"/>
      <c r="CE119" s="32"/>
      <c r="CF119" s="32"/>
      <c r="CG119" s="32"/>
      <c r="CH119" s="32"/>
      <c r="CI119" s="32"/>
      <c r="CJ119" s="32"/>
      <c r="CK119" s="32"/>
      <c r="CL119" s="32"/>
      <c r="CM119" s="32"/>
      <c r="CN119" s="32"/>
      <c r="CO119" s="32"/>
      <c r="CP119" s="32"/>
      <c r="CQ119" s="32"/>
      <c r="CR119" s="32"/>
      <c r="CS119" s="32"/>
      <c r="CT119" s="32"/>
      <c r="CU119" s="32"/>
      <c r="CV119" s="32"/>
      <c r="CW119" s="32"/>
      <c r="CX119" s="32"/>
      <c r="CY119" s="32"/>
      <c r="CZ119" s="32"/>
      <c r="DA119" s="32"/>
      <c r="DB119" s="32"/>
      <c r="DC119" s="32"/>
      <c r="DD119" s="32"/>
      <c r="DE119" s="32"/>
      <c r="DF119" s="32"/>
      <c r="DG119" s="32"/>
      <c r="DH119" s="32"/>
      <c r="DI119" s="32"/>
      <c r="DJ119" s="35"/>
      <c r="DK119" s="35"/>
      <c r="DL119" s="35"/>
      <c r="DM119" s="35"/>
      <c r="DN119" s="35"/>
      <c r="DO119" s="35"/>
      <c r="DP119" s="35"/>
      <c r="DQ119" s="35"/>
      <c r="DR119" s="35"/>
      <c r="DS119" s="35"/>
      <c r="DT119" s="35"/>
    </row>
    <row r="120" spans="1:124">
      <c r="A120" s="81"/>
      <c r="B120" s="82"/>
      <c r="C120" s="82"/>
      <c r="D120" s="82"/>
      <c r="E120" s="82"/>
      <c r="F120" s="82"/>
      <c r="G120" s="82"/>
      <c r="H120" s="82"/>
      <c r="I120" s="82"/>
      <c r="J120" s="82"/>
      <c r="K120" s="82"/>
      <c r="L120" s="82"/>
      <c r="M120" s="31"/>
      <c r="N120" s="81"/>
      <c r="O120" s="82"/>
      <c r="P120" s="82"/>
      <c r="Q120" s="82"/>
      <c r="R120" s="82"/>
      <c r="S120" s="82"/>
      <c r="T120" s="82"/>
      <c r="U120" s="82"/>
      <c r="V120" s="82"/>
      <c r="W120" s="82"/>
      <c r="X120" s="82"/>
      <c r="Y120" s="82"/>
      <c r="Z120" s="82"/>
      <c r="AA120" s="31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  <c r="AN120" s="32"/>
      <c r="AO120" s="32"/>
      <c r="AP120" s="32"/>
      <c r="AQ120" s="32"/>
      <c r="AR120" s="32"/>
      <c r="AS120" s="32"/>
      <c r="AT120" s="32"/>
      <c r="AU120" s="32"/>
      <c r="AV120" s="32"/>
      <c r="AW120" s="32"/>
      <c r="AX120" s="32"/>
      <c r="AY120" s="32"/>
      <c r="AZ120" s="32"/>
      <c r="BA120" s="32"/>
      <c r="BB120" s="32"/>
      <c r="BC120" s="32"/>
      <c r="BD120" s="32"/>
      <c r="BE120" s="32"/>
      <c r="BF120" s="32"/>
      <c r="BG120" s="32"/>
      <c r="BH120" s="32"/>
      <c r="BI120" s="32"/>
      <c r="BJ120" s="32"/>
      <c r="BK120" s="32"/>
      <c r="BL120" s="32"/>
      <c r="BM120" s="32"/>
      <c r="BN120" s="32"/>
      <c r="BO120" s="32"/>
      <c r="BP120" s="32"/>
      <c r="BQ120" s="32"/>
      <c r="BR120" s="32"/>
      <c r="BS120" s="32"/>
      <c r="BT120" s="32"/>
      <c r="BU120" s="32"/>
      <c r="BV120" s="32"/>
      <c r="BW120" s="32"/>
      <c r="BX120" s="32"/>
      <c r="BY120" s="32"/>
      <c r="BZ120" s="32"/>
      <c r="CA120" s="32"/>
      <c r="CB120" s="32"/>
      <c r="CC120" s="32"/>
      <c r="CD120" s="32"/>
      <c r="CE120" s="32"/>
      <c r="CF120" s="32"/>
      <c r="CG120" s="32"/>
      <c r="CH120" s="32"/>
      <c r="CI120" s="32"/>
      <c r="CJ120" s="32"/>
      <c r="CK120" s="32"/>
      <c r="CL120" s="32"/>
      <c r="CM120" s="32"/>
      <c r="CN120" s="32"/>
      <c r="CO120" s="32"/>
      <c r="CP120" s="32"/>
      <c r="CQ120" s="32"/>
      <c r="CR120" s="32"/>
      <c r="CS120" s="32"/>
      <c r="CT120" s="32"/>
      <c r="CU120" s="32"/>
      <c r="CV120" s="32"/>
      <c r="CW120" s="32"/>
      <c r="CX120" s="32"/>
      <c r="CY120" s="32"/>
      <c r="CZ120" s="32"/>
      <c r="DA120" s="32"/>
      <c r="DB120" s="32"/>
      <c r="DC120" s="32"/>
      <c r="DD120" s="32"/>
      <c r="DE120" s="32"/>
      <c r="DF120" s="32"/>
      <c r="DG120" s="32"/>
      <c r="DH120" s="32"/>
      <c r="DI120" s="32"/>
      <c r="DJ120" s="35"/>
      <c r="DK120" s="35"/>
      <c r="DL120" s="35"/>
      <c r="DM120" s="35"/>
      <c r="DN120" s="35"/>
      <c r="DO120" s="35"/>
      <c r="DP120" s="35"/>
      <c r="DQ120" s="35"/>
      <c r="DR120" s="35"/>
      <c r="DS120" s="35"/>
      <c r="DT120" s="35"/>
    </row>
    <row r="121" spans="1:124">
      <c r="A121" s="81"/>
      <c r="B121" s="82"/>
      <c r="C121" s="82"/>
      <c r="D121" s="82"/>
      <c r="E121" s="82"/>
      <c r="F121" s="82"/>
      <c r="G121" s="82"/>
      <c r="H121" s="82"/>
      <c r="I121" s="82"/>
      <c r="J121" s="82"/>
      <c r="K121" s="82"/>
      <c r="L121" s="82"/>
      <c r="M121" s="31"/>
      <c r="N121" s="81"/>
      <c r="O121" s="82"/>
      <c r="P121" s="82"/>
      <c r="Q121" s="82"/>
      <c r="R121" s="82"/>
      <c r="S121" s="82"/>
      <c r="T121" s="82"/>
      <c r="U121" s="82"/>
      <c r="V121" s="82"/>
      <c r="W121" s="82"/>
      <c r="X121" s="82"/>
      <c r="Y121" s="82"/>
      <c r="Z121" s="82"/>
      <c r="AA121" s="31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  <c r="AU121" s="32"/>
      <c r="AV121" s="32"/>
      <c r="AW121" s="32"/>
      <c r="AX121" s="32"/>
      <c r="AY121" s="32"/>
      <c r="AZ121" s="32"/>
      <c r="BA121" s="32"/>
      <c r="BB121" s="32"/>
      <c r="BC121" s="32"/>
      <c r="BD121" s="32"/>
      <c r="BE121" s="32"/>
      <c r="BF121" s="32"/>
      <c r="BG121" s="32"/>
      <c r="BH121" s="32"/>
      <c r="BI121" s="32"/>
      <c r="BJ121" s="32"/>
      <c r="BK121" s="32"/>
      <c r="BL121" s="32"/>
      <c r="BM121" s="32"/>
      <c r="BN121" s="32"/>
      <c r="BO121" s="32"/>
      <c r="BP121" s="32"/>
      <c r="BQ121" s="32"/>
      <c r="BR121" s="32"/>
      <c r="BS121" s="32"/>
      <c r="BT121" s="32"/>
      <c r="BU121" s="32"/>
      <c r="BV121" s="32"/>
      <c r="BW121" s="32"/>
      <c r="BX121" s="32"/>
      <c r="BY121" s="32"/>
      <c r="BZ121" s="32"/>
      <c r="CA121" s="32"/>
      <c r="CB121" s="32"/>
      <c r="CC121" s="32"/>
      <c r="CD121" s="32"/>
      <c r="CE121" s="32"/>
      <c r="CF121" s="32"/>
      <c r="CG121" s="32"/>
      <c r="CH121" s="32"/>
      <c r="CI121" s="32"/>
      <c r="CJ121" s="32"/>
      <c r="CK121" s="32"/>
      <c r="CL121" s="32"/>
      <c r="CM121" s="32"/>
      <c r="CN121" s="32"/>
      <c r="CO121" s="32"/>
      <c r="CP121" s="32"/>
      <c r="CQ121" s="32"/>
      <c r="CR121" s="32"/>
      <c r="CS121" s="32"/>
      <c r="CT121" s="32"/>
      <c r="CU121" s="32"/>
      <c r="CV121" s="32"/>
      <c r="CW121" s="32"/>
      <c r="CX121" s="32"/>
      <c r="CY121" s="32"/>
      <c r="CZ121" s="32"/>
      <c r="DA121" s="32"/>
      <c r="DB121" s="32"/>
      <c r="DC121" s="32"/>
      <c r="DD121" s="32"/>
      <c r="DE121" s="32"/>
      <c r="DF121" s="32"/>
      <c r="DG121" s="32"/>
      <c r="DH121" s="32"/>
      <c r="DI121" s="32"/>
      <c r="DJ121" s="35"/>
      <c r="DK121" s="35"/>
      <c r="DL121" s="35"/>
      <c r="DM121" s="35"/>
      <c r="DN121" s="35"/>
      <c r="DO121" s="35"/>
      <c r="DP121" s="35"/>
      <c r="DQ121" s="35"/>
      <c r="DR121" s="35"/>
      <c r="DS121" s="35"/>
      <c r="DT121" s="35"/>
    </row>
    <row r="122" spans="1:124">
      <c r="A122" s="81"/>
      <c r="B122" s="82"/>
      <c r="C122" s="82"/>
      <c r="D122" s="82"/>
      <c r="E122" s="82"/>
      <c r="F122" s="82"/>
      <c r="G122" s="82"/>
      <c r="H122" s="82"/>
      <c r="I122" s="82"/>
      <c r="J122" s="82"/>
      <c r="K122" s="82"/>
      <c r="L122" s="82"/>
      <c r="M122" s="31"/>
      <c r="N122" s="81"/>
      <c r="O122" s="82"/>
      <c r="P122" s="82"/>
      <c r="Q122" s="82"/>
      <c r="R122" s="82"/>
      <c r="S122" s="82"/>
      <c r="T122" s="82"/>
      <c r="U122" s="82"/>
      <c r="V122" s="82"/>
      <c r="W122" s="82"/>
      <c r="X122" s="82"/>
      <c r="Y122" s="82"/>
      <c r="Z122" s="82"/>
      <c r="AA122" s="31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  <c r="AW122" s="32"/>
      <c r="AX122" s="32"/>
      <c r="AY122" s="32"/>
      <c r="AZ122" s="32"/>
      <c r="BA122" s="32"/>
      <c r="BB122" s="32"/>
      <c r="BC122" s="32"/>
      <c r="BD122" s="32"/>
      <c r="BE122" s="32"/>
      <c r="BF122" s="32"/>
      <c r="BG122" s="32"/>
      <c r="BH122" s="32"/>
      <c r="BI122" s="32"/>
      <c r="BJ122" s="32"/>
      <c r="BK122" s="32"/>
      <c r="BL122" s="32"/>
      <c r="BM122" s="32"/>
      <c r="BN122" s="32"/>
      <c r="BO122" s="32"/>
      <c r="BP122" s="32"/>
      <c r="BQ122" s="32"/>
      <c r="BR122" s="32"/>
      <c r="BS122" s="32"/>
      <c r="BT122" s="32"/>
      <c r="BU122" s="32"/>
      <c r="BV122" s="32"/>
      <c r="BW122" s="32"/>
      <c r="BX122" s="32"/>
      <c r="BY122" s="32"/>
      <c r="BZ122" s="32"/>
      <c r="CA122" s="32"/>
      <c r="CB122" s="32"/>
      <c r="CC122" s="32"/>
      <c r="CD122" s="32"/>
      <c r="CE122" s="32"/>
      <c r="CF122" s="32"/>
      <c r="CG122" s="32"/>
      <c r="CH122" s="32"/>
      <c r="CI122" s="32"/>
      <c r="CJ122" s="32"/>
      <c r="CK122" s="32"/>
      <c r="CL122" s="32"/>
      <c r="CM122" s="32"/>
      <c r="CN122" s="32"/>
      <c r="CO122" s="32"/>
      <c r="CP122" s="32"/>
      <c r="CQ122" s="32"/>
      <c r="CR122" s="32"/>
      <c r="CS122" s="32"/>
      <c r="CT122" s="32"/>
      <c r="CU122" s="32"/>
      <c r="CV122" s="32"/>
      <c r="CW122" s="32"/>
      <c r="CX122" s="32"/>
      <c r="CY122" s="32"/>
      <c r="CZ122" s="32"/>
      <c r="DA122" s="32"/>
      <c r="DB122" s="32"/>
      <c r="DC122" s="32"/>
      <c r="DD122" s="32"/>
      <c r="DE122" s="32"/>
      <c r="DF122" s="32"/>
      <c r="DG122" s="32"/>
      <c r="DH122" s="32"/>
      <c r="DI122" s="32"/>
      <c r="DJ122" s="35"/>
      <c r="DK122" s="35"/>
      <c r="DL122" s="35"/>
      <c r="DM122" s="35"/>
      <c r="DN122" s="35"/>
      <c r="DO122" s="35"/>
      <c r="DP122" s="35"/>
      <c r="DQ122" s="35"/>
      <c r="DR122" s="35"/>
      <c r="DS122" s="35"/>
      <c r="DT122" s="35"/>
    </row>
    <row r="123" spans="1:124">
      <c r="A123" s="81"/>
      <c r="B123" s="82"/>
      <c r="C123" s="82"/>
      <c r="D123" s="82"/>
      <c r="E123" s="82"/>
      <c r="F123" s="82"/>
      <c r="G123" s="82"/>
      <c r="H123" s="82"/>
      <c r="I123" s="82"/>
      <c r="J123" s="82"/>
      <c r="K123" s="82"/>
      <c r="L123" s="82"/>
      <c r="M123" s="31"/>
      <c r="N123" s="81"/>
      <c r="O123" s="82"/>
      <c r="P123" s="82"/>
      <c r="Q123" s="82"/>
      <c r="R123" s="82"/>
      <c r="S123" s="82"/>
      <c r="T123" s="82"/>
      <c r="U123" s="82"/>
      <c r="V123" s="82"/>
      <c r="W123" s="82"/>
      <c r="X123" s="82"/>
      <c r="Y123" s="82"/>
      <c r="Z123" s="82"/>
      <c r="AA123" s="31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  <c r="AP123" s="32"/>
      <c r="AQ123" s="32"/>
      <c r="AR123" s="32"/>
      <c r="AS123" s="32"/>
      <c r="AT123" s="32"/>
      <c r="AU123" s="32"/>
      <c r="AV123" s="32"/>
      <c r="AW123" s="32"/>
      <c r="AX123" s="32"/>
      <c r="AY123" s="32"/>
      <c r="AZ123" s="32"/>
      <c r="BA123" s="32"/>
      <c r="BB123" s="32"/>
      <c r="BC123" s="32"/>
      <c r="BD123" s="32"/>
      <c r="BE123" s="32"/>
      <c r="BF123" s="32"/>
      <c r="BG123" s="32"/>
      <c r="BH123" s="32"/>
      <c r="BI123" s="32"/>
      <c r="BJ123" s="32"/>
      <c r="BK123" s="32"/>
      <c r="BL123" s="32"/>
      <c r="BM123" s="32"/>
      <c r="BN123" s="32"/>
      <c r="BO123" s="32"/>
      <c r="BP123" s="32"/>
      <c r="BQ123" s="32"/>
      <c r="BR123" s="32"/>
      <c r="BS123" s="32"/>
      <c r="BT123" s="32"/>
      <c r="BU123" s="32"/>
      <c r="BV123" s="32"/>
      <c r="BW123" s="32"/>
      <c r="BX123" s="32"/>
      <c r="BY123" s="32"/>
      <c r="BZ123" s="32"/>
      <c r="CA123" s="32"/>
      <c r="CB123" s="32"/>
      <c r="CC123" s="32"/>
      <c r="CD123" s="32"/>
      <c r="CE123" s="32"/>
      <c r="CF123" s="32"/>
      <c r="CG123" s="32"/>
      <c r="CH123" s="32"/>
      <c r="CI123" s="32"/>
      <c r="CJ123" s="32"/>
      <c r="CK123" s="32"/>
      <c r="CL123" s="32"/>
      <c r="CM123" s="32"/>
      <c r="CN123" s="32"/>
      <c r="CO123" s="32"/>
      <c r="CP123" s="32"/>
      <c r="CQ123" s="32"/>
      <c r="CR123" s="32"/>
      <c r="CS123" s="32"/>
      <c r="CT123" s="32"/>
      <c r="CU123" s="32"/>
      <c r="CV123" s="32"/>
      <c r="CW123" s="32"/>
      <c r="CX123" s="32"/>
      <c r="CY123" s="32"/>
      <c r="CZ123" s="32"/>
      <c r="DA123" s="32"/>
      <c r="DB123" s="32"/>
      <c r="DC123" s="32"/>
      <c r="DD123" s="32"/>
      <c r="DE123" s="32"/>
      <c r="DF123" s="32"/>
      <c r="DG123" s="32"/>
      <c r="DH123" s="32"/>
      <c r="DI123" s="32"/>
      <c r="DJ123" s="35"/>
      <c r="DK123" s="35"/>
      <c r="DL123" s="35"/>
      <c r="DM123" s="35"/>
      <c r="DN123" s="35"/>
      <c r="DO123" s="35"/>
      <c r="DP123" s="35"/>
      <c r="DQ123" s="35"/>
      <c r="DR123" s="35"/>
      <c r="DS123" s="35"/>
      <c r="DT123" s="35"/>
    </row>
    <row r="124" spans="1:124">
      <c r="A124" s="81"/>
      <c r="B124" s="82"/>
      <c r="C124" s="82"/>
      <c r="D124" s="82"/>
      <c r="E124" s="82"/>
      <c r="F124" s="82"/>
      <c r="G124" s="82"/>
      <c r="H124" s="82"/>
      <c r="I124" s="82"/>
      <c r="J124" s="82"/>
      <c r="K124" s="82"/>
      <c r="L124" s="82"/>
      <c r="M124" s="31"/>
      <c r="N124" s="81"/>
      <c r="O124" s="82"/>
      <c r="P124" s="82"/>
      <c r="Q124" s="82"/>
      <c r="R124" s="82"/>
      <c r="S124" s="82"/>
      <c r="T124" s="82"/>
      <c r="U124" s="82"/>
      <c r="V124" s="82"/>
      <c r="W124" s="82"/>
      <c r="X124" s="82"/>
      <c r="Y124" s="82"/>
      <c r="Z124" s="82"/>
      <c r="AA124" s="31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2"/>
      <c r="AN124" s="32"/>
      <c r="AO124" s="32"/>
      <c r="AP124" s="32"/>
      <c r="AQ124" s="32"/>
      <c r="AR124" s="32"/>
      <c r="AS124" s="32"/>
      <c r="AT124" s="32"/>
      <c r="AU124" s="32"/>
      <c r="AV124" s="32"/>
      <c r="AW124" s="32"/>
      <c r="AX124" s="32"/>
      <c r="AY124" s="32"/>
      <c r="AZ124" s="32"/>
      <c r="BA124" s="32"/>
      <c r="BB124" s="32"/>
      <c r="BC124" s="32"/>
      <c r="BD124" s="32"/>
      <c r="BE124" s="32"/>
      <c r="BF124" s="32"/>
      <c r="BG124" s="32"/>
      <c r="BH124" s="32"/>
      <c r="BI124" s="32"/>
      <c r="BJ124" s="32"/>
      <c r="BK124" s="32"/>
      <c r="BL124" s="32"/>
      <c r="BM124" s="32"/>
      <c r="BN124" s="32"/>
      <c r="BO124" s="32"/>
      <c r="BP124" s="32"/>
      <c r="BQ124" s="32"/>
      <c r="BR124" s="32"/>
      <c r="BS124" s="32"/>
      <c r="BT124" s="32"/>
      <c r="BU124" s="32"/>
      <c r="BV124" s="32"/>
      <c r="BW124" s="32"/>
      <c r="BX124" s="32"/>
      <c r="BY124" s="32"/>
      <c r="BZ124" s="32"/>
      <c r="CA124" s="32"/>
      <c r="CB124" s="32"/>
      <c r="CC124" s="32"/>
      <c r="CD124" s="32"/>
      <c r="CE124" s="32"/>
      <c r="CF124" s="32"/>
      <c r="CG124" s="32"/>
      <c r="CH124" s="32"/>
      <c r="CI124" s="32"/>
      <c r="CJ124" s="32"/>
      <c r="CK124" s="32"/>
      <c r="CL124" s="32"/>
      <c r="CM124" s="32"/>
      <c r="CN124" s="32"/>
      <c r="CO124" s="32"/>
      <c r="CP124" s="32"/>
      <c r="CQ124" s="32"/>
      <c r="CR124" s="32"/>
      <c r="CS124" s="32"/>
      <c r="CT124" s="32"/>
      <c r="CU124" s="32"/>
      <c r="CV124" s="32"/>
      <c r="CW124" s="32"/>
      <c r="CX124" s="32"/>
      <c r="CY124" s="32"/>
      <c r="CZ124" s="32"/>
      <c r="DA124" s="32"/>
      <c r="DB124" s="32"/>
      <c r="DC124" s="32"/>
      <c r="DD124" s="32"/>
      <c r="DE124" s="32"/>
      <c r="DF124" s="32"/>
      <c r="DG124" s="32"/>
      <c r="DH124" s="32"/>
      <c r="DI124" s="32"/>
      <c r="DJ124" s="35"/>
      <c r="DK124" s="35"/>
      <c r="DL124" s="35"/>
      <c r="DM124" s="35"/>
      <c r="DN124" s="35"/>
      <c r="DO124" s="35"/>
      <c r="DP124" s="35"/>
      <c r="DQ124" s="35"/>
      <c r="DR124" s="35"/>
      <c r="DS124" s="35"/>
      <c r="DT124" s="35"/>
    </row>
    <row r="125" spans="1:124">
      <c r="A125" s="81"/>
      <c r="B125" s="82"/>
      <c r="C125" s="82"/>
      <c r="D125" s="82"/>
      <c r="E125" s="82"/>
      <c r="F125" s="82"/>
      <c r="G125" s="82"/>
      <c r="H125" s="82"/>
      <c r="I125" s="82"/>
      <c r="J125" s="82"/>
      <c r="K125" s="82"/>
      <c r="L125" s="82"/>
      <c r="M125" s="31"/>
      <c r="N125" s="81"/>
      <c r="O125" s="82"/>
      <c r="P125" s="82"/>
      <c r="Q125" s="82"/>
      <c r="R125" s="82"/>
      <c r="S125" s="82"/>
      <c r="T125" s="82"/>
      <c r="U125" s="82"/>
      <c r="V125" s="82"/>
      <c r="W125" s="82"/>
      <c r="X125" s="82"/>
      <c r="Y125" s="82"/>
      <c r="Z125" s="82"/>
      <c r="AA125" s="31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2"/>
      <c r="AN125" s="32"/>
      <c r="AO125" s="32"/>
      <c r="AP125" s="32"/>
      <c r="AQ125" s="32"/>
      <c r="AR125" s="32"/>
      <c r="AS125" s="32"/>
      <c r="AT125" s="32"/>
      <c r="AU125" s="32"/>
      <c r="AV125" s="32"/>
      <c r="AW125" s="32"/>
      <c r="AX125" s="32"/>
      <c r="AY125" s="32"/>
      <c r="AZ125" s="32"/>
      <c r="BA125" s="32"/>
      <c r="BB125" s="32"/>
      <c r="BC125" s="32"/>
      <c r="BD125" s="32"/>
      <c r="BE125" s="32"/>
      <c r="BF125" s="32"/>
      <c r="BG125" s="32"/>
      <c r="BH125" s="32"/>
      <c r="BI125" s="32"/>
      <c r="BJ125" s="32"/>
      <c r="BK125" s="32"/>
      <c r="BL125" s="32"/>
      <c r="BM125" s="32"/>
      <c r="BN125" s="32"/>
      <c r="BO125" s="32"/>
      <c r="BP125" s="32"/>
      <c r="BQ125" s="32"/>
      <c r="BR125" s="32"/>
      <c r="BS125" s="32"/>
      <c r="BT125" s="32"/>
      <c r="BU125" s="32"/>
      <c r="BV125" s="32"/>
      <c r="BW125" s="32"/>
      <c r="BX125" s="32"/>
      <c r="BY125" s="32"/>
      <c r="BZ125" s="32"/>
      <c r="CA125" s="32"/>
      <c r="CB125" s="32"/>
      <c r="CC125" s="32"/>
      <c r="CD125" s="32"/>
      <c r="CE125" s="32"/>
      <c r="CF125" s="32"/>
      <c r="CG125" s="32"/>
      <c r="CH125" s="32"/>
      <c r="CI125" s="32"/>
      <c r="CJ125" s="32"/>
      <c r="CK125" s="32"/>
      <c r="CL125" s="32"/>
      <c r="CM125" s="32"/>
      <c r="CN125" s="32"/>
      <c r="CO125" s="32"/>
      <c r="CP125" s="32"/>
      <c r="CQ125" s="32"/>
      <c r="CR125" s="32"/>
      <c r="CS125" s="32"/>
      <c r="CT125" s="32"/>
      <c r="CU125" s="32"/>
      <c r="CV125" s="32"/>
      <c r="CW125" s="32"/>
      <c r="CX125" s="32"/>
      <c r="CY125" s="32"/>
      <c r="CZ125" s="32"/>
      <c r="DA125" s="32"/>
      <c r="DB125" s="32"/>
      <c r="DC125" s="32"/>
      <c r="DD125" s="32"/>
      <c r="DE125" s="32"/>
      <c r="DF125" s="32"/>
      <c r="DG125" s="32"/>
      <c r="DH125" s="32"/>
      <c r="DI125" s="32"/>
      <c r="DJ125" s="35"/>
      <c r="DK125" s="35"/>
      <c r="DL125" s="35"/>
      <c r="DM125" s="35"/>
      <c r="DN125" s="35"/>
      <c r="DO125" s="35"/>
      <c r="DP125" s="35"/>
      <c r="DQ125" s="35"/>
      <c r="DR125" s="35"/>
      <c r="DS125" s="35"/>
      <c r="DT125" s="35"/>
    </row>
    <row r="126" spans="1:124">
      <c r="A126" s="81"/>
      <c r="B126" s="82"/>
      <c r="C126" s="82"/>
      <c r="D126" s="82"/>
      <c r="E126" s="82"/>
      <c r="F126" s="82"/>
      <c r="G126" s="82"/>
      <c r="H126" s="82"/>
      <c r="I126" s="82"/>
      <c r="J126" s="82"/>
      <c r="K126" s="82"/>
      <c r="L126" s="82"/>
      <c r="M126" s="31"/>
      <c r="N126" s="81"/>
      <c r="O126" s="82"/>
      <c r="P126" s="82"/>
      <c r="Q126" s="82"/>
      <c r="R126" s="82"/>
      <c r="S126" s="82"/>
      <c r="T126" s="82"/>
      <c r="U126" s="82"/>
      <c r="V126" s="82"/>
      <c r="W126" s="82"/>
      <c r="X126" s="82"/>
      <c r="Y126" s="82"/>
      <c r="Z126" s="82"/>
      <c r="AA126" s="31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2"/>
      <c r="AN126" s="32"/>
      <c r="AO126" s="32"/>
      <c r="AP126" s="32"/>
      <c r="AQ126" s="32"/>
      <c r="AR126" s="32"/>
      <c r="AS126" s="32"/>
      <c r="AT126" s="32"/>
      <c r="AU126" s="32"/>
      <c r="AV126" s="32"/>
      <c r="AW126" s="32"/>
      <c r="AX126" s="32"/>
      <c r="AY126" s="32"/>
      <c r="AZ126" s="32"/>
      <c r="BA126" s="32"/>
      <c r="BB126" s="32"/>
      <c r="BC126" s="32"/>
      <c r="BD126" s="32"/>
      <c r="BE126" s="32"/>
      <c r="BF126" s="32"/>
      <c r="BG126" s="32"/>
      <c r="BH126" s="32"/>
      <c r="BI126" s="32"/>
      <c r="BJ126" s="32"/>
      <c r="BK126" s="32"/>
      <c r="BL126" s="32"/>
      <c r="BM126" s="32"/>
      <c r="BN126" s="32"/>
      <c r="BO126" s="32"/>
      <c r="BP126" s="32"/>
      <c r="BQ126" s="32"/>
      <c r="BR126" s="32"/>
      <c r="BS126" s="32"/>
      <c r="BT126" s="32"/>
      <c r="BU126" s="32"/>
      <c r="BV126" s="32"/>
      <c r="BW126" s="32"/>
      <c r="BX126" s="32"/>
      <c r="BY126" s="32"/>
      <c r="BZ126" s="32"/>
      <c r="CA126" s="32"/>
      <c r="CB126" s="32"/>
      <c r="CC126" s="32"/>
      <c r="CD126" s="32"/>
      <c r="CE126" s="32"/>
      <c r="CF126" s="32"/>
      <c r="CG126" s="32"/>
      <c r="CH126" s="32"/>
      <c r="CI126" s="32"/>
      <c r="CJ126" s="32"/>
      <c r="CK126" s="32"/>
      <c r="CL126" s="32"/>
      <c r="CM126" s="32"/>
      <c r="CN126" s="32"/>
      <c r="CO126" s="32"/>
      <c r="CP126" s="32"/>
      <c r="CQ126" s="32"/>
      <c r="CR126" s="32"/>
      <c r="CS126" s="32"/>
      <c r="CT126" s="32"/>
      <c r="CU126" s="32"/>
      <c r="CV126" s="32"/>
      <c r="CW126" s="32"/>
      <c r="CX126" s="32"/>
      <c r="CY126" s="32"/>
      <c r="CZ126" s="32"/>
      <c r="DA126" s="32"/>
      <c r="DB126" s="32"/>
      <c r="DC126" s="32"/>
      <c r="DD126" s="32"/>
      <c r="DE126" s="32"/>
      <c r="DF126" s="32"/>
      <c r="DG126" s="32"/>
      <c r="DH126" s="32"/>
      <c r="DI126" s="32"/>
      <c r="DJ126" s="35"/>
      <c r="DK126" s="35"/>
      <c r="DL126" s="35"/>
      <c r="DM126" s="35"/>
      <c r="DN126" s="35"/>
      <c r="DO126" s="35"/>
      <c r="DP126" s="35"/>
      <c r="DQ126" s="35"/>
      <c r="DR126" s="35"/>
      <c r="DS126" s="35"/>
      <c r="DT126" s="35"/>
    </row>
    <row r="127" spans="1:124">
      <c r="A127" s="81"/>
      <c r="B127" s="82"/>
      <c r="C127" s="82"/>
      <c r="D127" s="82"/>
      <c r="E127" s="82"/>
      <c r="F127" s="82"/>
      <c r="G127" s="82"/>
      <c r="H127" s="82"/>
      <c r="I127" s="82"/>
      <c r="J127" s="82"/>
      <c r="K127" s="82"/>
      <c r="L127" s="82"/>
      <c r="M127" s="31"/>
      <c r="N127" s="81"/>
      <c r="O127" s="82"/>
      <c r="P127" s="82"/>
      <c r="Q127" s="82"/>
      <c r="R127" s="82"/>
      <c r="S127" s="82"/>
      <c r="T127" s="82"/>
      <c r="U127" s="82"/>
      <c r="V127" s="82"/>
      <c r="W127" s="82"/>
      <c r="X127" s="82"/>
      <c r="Y127" s="82"/>
      <c r="Z127" s="82"/>
      <c r="AA127" s="31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2"/>
      <c r="AN127" s="32"/>
      <c r="AO127" s="32"/>
      <c r="AP127" s="32"/>
      <c r="AQ127" s="32"/>
      <c r="AR127" s="32"/>
      <c r="AS127" s="32"/>
      <c r="AT127" s="32"/>
      <c r="AU127" s="32"/>
      <c r="AV127" s="32"/>
      <c r="AW127" s="32"/>
      <c r="AX127" s="32"/>
      <c r="AY127" s="32"/>
      <c r="AZ127" s="32"/>
      <c r="BA127" s="32"/>
      <c r="BB127" s="32"/>
      <c r="BC127" s="32"/>
      <c r="BD127" s="32"/>
      <c r="BE127" s="32"/>
      <c r="BF127" s="32"/>
      <c r="BG127" s="32"/>
      <c r="BH127" s="32"/>
      <c r="BI127" s="32"/>
      <c r="BJ127" s="32"/>
      <c r="BK127" s="32"/>
      <c r="BL127" s="32"/>
      <c r="BM127" s="32"/>
      <c r="BN127" s="32"/>
      <c r="BO127" s="32"/>
      <c r="BP127" s="32"/>
      <c r="BQ127" s="32"/>
      <c r="BR127" s="32"/>
      <c r="BS127" s="32"/>
      <c r="BT127" s="32"/>
      <c r="BU127" s="32"/>
      <c r="BV127" s="32"/>
      <c r="BW127" s="32"/>
      <c r="BX127" s="32"/>
      <c r="BY127" s="32"/>
      <c r="BZ127" s="32"/>
      <c r="CA127" s="32"/>
      <c r="CB127" s="32"/>
      <c r="CC127" s="32"/>
      <c r="CD127" s="32"/>
      <c r="CE127" s="32"/>
      <c r="CF127" s="32"/>
      <c r="CG127" s="32"/>
      <c r="CH127" s="32"/>
      <c r="CI127" s="32"/>
      <c r="CJ127" s="32"/>
      <c r="CK127" s="32"/>
      <c r="CL127" s="32"/>
      <c r="CM127" s="32"/>
      <c r="CN127" s="32"/>
      <c r="CO127" s="32"/>
      <c r="CP127" s="32"/>
      <c r="CQ127" s="32"/>
      <c r="CR127" s="32"/>
      <c r="CS127" s="32"/>
      <c r="CT127" s="32"/>
      <c r="CU127" s="32"/>
      <c r="CV127" s="32"/>
      <c r="CW127" s="32"/>
      <c r="CX127" s="32"/>
      <c r="CY127" s="32"/>
      <c r="CZ127" s="32"/>
      <c r="DA127" s="32"/>
      <c r="DB127" s="32"/>
      <c r="DC127" s="32"/>
      <c r="DD127" s="32"/>
      <c r="DE127" s="32"/>
      <c r="DF127" s="32"/>
      <c r="DG127" s="32"/>
      <c r="DH127" s="32"/>
      <c r="DI127" s="32"/>
      <c r="DJ127" s="35"/>
      <c r="DK127" s="35"/>
      <c r="DL127" s="35"/>
      <c r="DM127" s="35"/>
      <c r="DN127" s="35"/>
      <c r="DO127" s="35"/>
      <c r="DP127" s="35"/>
      <c r="DQ127" s="35"/>
      <c r="DR127" s="35"/>
      <c r="DS127" s="35"/>
      <c r="DT127" s="35"/>
    </row>
    <row r="128" spans="1:124">
      <c r="A128" s="81"/>
      <c r="B128" s="82"/>
      <c r="C128" s="82"/>
      <c r="D128" s="82"/>
      <c r="E128" s="82"/>
      <c r="F128" s="82"/>
      <c r="G128" s="82"/>
      <c r="H128" s="82"/>
      <c r="I128" s="82"/>
      <c r="J128" s="82"/>
      <c r="K128" s="82"/>
      <c r="L128" s="82"/>
      <c r="M128" s="31"/>
      <c r="N128" s="81"/>
      <c r="O128" s="82"/>
      <c r="P128" s="82"/>
      <c r="Q128" s="82"/>
      <c r="R128" s="82"/>
      <c r="S128" s="82"/>
      <c r="T128" s="82"/>
      <c r="U128" s="82"/>
      <c r="V128" s="82"/>
      <c r="W128" s="82"/>
      <c r="X128" s="82"/>
      <c r="Y128" s="82"/>
      <c r="Z128" s="82"/>
      <c r="AA128" s="31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2"/>
      <c r="AN128" s="32"/>
      <c r="AO128" s="32"/>
      <c r="AP128" s="32"/>
      <c r="AQ128" s="32"/>
      <c r="AR128" s="32"/>
      <c r="AS128" s="32"/>
      <c r="AT128" s="32"/>
      <c r="AU128" s="32"/>
      <c r="AV128" s="32"/>
      <c r="AW128" s="32"/>
      <c r="AX128" s="32"/>
      <c r="AY128" s="32"/>
      <c r="AZ128" s="32"/>
      <c r="BA128" s="32"/>
      <c r="BB128" s="32"/>
      <c r="BC128" s="32"/>
      <c r="BD128" s="32"/>
      <c r="BE128" s="32"/>
      <c r="BF128" s="32"/>
      <c r="BG128" s="32"/>
      <c r="BH128" s="32"/>
      <c r="BI128" s="32"/>
      <c r="BJ128" s="32"/>
      <c r="BK128" s="32"/>
      <c r="BL128" s="32"/>
      <c r="BM128" s="32"/>
      <c r="BN128" s="32"/>
      <c r="BO128" s="32"/>
      <c r="BP128" s="32"/>
      <c r="BQ128" s="32"/>
      <c r="BR128" s="32"/>
      <c r="BS128" s="32"/>
      <c r="BT128" s="32"/>
      <c r="BU128" s="32"/>
      <c r="BV128" s="32"/>
      <c r="BW128" s="32"/>
      <c r="BX128" s="32"/>
      <c r="BY128" s="32"/>
      <c r="BZ128" s="32"/>
      <c r="CA128" s="32"/>
      <c r="CB128" s="32"/>
      <c r="CC128" s="32"/>
      <c r="CD128" s="32"/>
      <c r="CE128" s="32"/>
      <c r="CF128" s="32"/>
      <c r="CG128" s="32"/>
      <c r="CH128" s="32"/>
      <c r="CI128" s="32"/>
      <c r="CJ128" s="32"/>
      <c r="CK128" s="32"/>
      <c r="CL128" s="32"/>
      <c r="CM128" s="32"/>
      <c r="CN128" s="32"/>
      <c r="CO128" s="32"/>
      <c r="CP128" s="32"/>
      <c r="CQ128" s="32"/>
      <c r="CR128" s="32"/>
      <c r="CS128" s="32"/>
      <c r="CT128" s="32"/>
      <c r="CU128" s="32"/>
      <c r="CV128" s="32"/>
      <c r="CW128" s="32"/>
      <c r="CX128" s="32"/>
      <c r="CY128" s="32"/>
      <c r="CZ128" s="32"/>
      <c r="DA128" s="32"/>
      <c r="DB128" s="32"/>
      <c r="DC128" s="32"/>
      <c r="DD128" s="32"/>
      <c r="DE128" s="32"/>
      <c r="DF128" s="32"/>
      <c r="DG128" s="32"/>
      <c r="DH128" s="32"/>
      <c r="DI128" s="32"/>
      <c r="DJ128" s="35"/>
      <c r="DK128" s="35"/>
      <c r="DL128" s="35"/>
      <c r="DM128" s="35"/>
      <c r="DN128" s="35"/>
      <c r="DO128" s="35"/>
      <c r="DP128" s="35"/>
      <c r="DQ128" s="35"/>
      <c r="DR128" s="35"/>
      <c r="DS128" s="35"/>
      <c r="DT128" s="35"/>
    </row>
    <row r="129" spans="1:124">
      <c r="A129" s="81"/>
      <c r="B129" s="82"/>
      <c r="C129" s="82"/>
      <c r="D129" s="82"/>
      <c r="E129" s="82"/>
      <c r="F129" s="82"/>
      <c r="G129" s="82"/>
      <c r="H129" s="82"/>
      <c r="I129" s="82"/>
      <c r="J129" s="82"/>
      <c r="K129" s="82"/>
      <c r="L129" s="82"/>
      <c r="M129" s="31"/>
      <c r="N129" s="81"/>
      <c r="O129" s="82"/>
      <c r="P129" s="82"/>
      <c r="Q129" s="82"/>
      <c r="R129" s="82"/>
      <c r="S129" s="82"/>
      <c r="T129" s="82"/>
      <c r="U129" s="82"/>
      <c r="V129" s="82"/>
      <c r="W129" s="82"/>
      <c r="X129" s="82"/>
      <c r="Y129" s="82"/>
      <c r="Z129" s="82"/>
      <c r="AA129" s="31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2"/>
      <c r="AN129" s="32"/>
      <c r="AO129" s="32"/>
      <c r="AP129" s="32"/>
      <c r="AQ129" s="32"/>
      <c r="AR129" s="32"/>
      <c r="AS129" s="32"/>
      <c r="AT129" s="32"/>
      <c r="AU129" s="32"/>
      <c r="AV129" s="32"/>
      <c r="AW129" s="32"/>
      <c r="AX129" s="32"/>
      <c r="AY129" s="32"/>
      <c r="AZ129" s="32"/>
      <c r="BA129" s="32"/>
      <c r="BB129" s="32"/>
      <c r="BC129" s="32"/>
      <c r="BD129" s="32"/>
      <c r="BE129" s="32"/>
      <c r="BF129" s="32"/>
      <c r="BG129" s="32"/>
      <c r="BH129" s="32"/>
      <c r="BI129" s="32"/>
      <c r="BJ129" s="32"/>
      <c r="BK129" s="32"/>
      <c r="BL129" s="32"/>
      <c r="BM129" s="32"/>
      <c r="BN129" s="32"/>
      <c r="BO129" s="32"/>
      <c r="BP129" s="32"/>
      <c r="BQ129" s="32"/>
      <c r="BR129" s="32"/>
      <c r="BS129" s="32"/>
      <c r="BT129" s="32"/>
      <c r="BU129" s="32"/>
      <c r="BV129" s="32"/>
      <c r="BW129" s="32"/>
      <c r="BX129" s="32"/>
      <c r="BY129" s="32"/>
      <c r="BZ129" s="32"/>
      <c r="CA129" s="32"/>
      <c r="CB129" s="32"/>
      <c r="CC129" s="32"/>
      <c r="CD129" s="32"/>
      <c r="CE129" s="32"/>
      <c r="CF129" s="32"/>
      <c r="CG129" s="32"/>
      <c r="CH129" s="32"/>
      <c r="CI129" s="32"/>
      <c r="CJ129" s="32"/>
      <c r="CK129" s="32"/>
      <c r="CL129" s="32"/>
      <c r="CM129" s="32"/>
      <c r="CN129" s="32"/>
      <c r="CO129" s="32"/>
      <c r="CP129" s="32"/>
      <c r="CQ129" s="32"/>
      <c r="CR129" s="32"/>
      <c r="CS129" s="32"/>
      <c r="CT129" s="32"/>
      <c r="CU129" s="32"/>
      <c r="CV129" s="32"/>
      <c r="CW129" s="32"/>
      <c r="CX129" s="32"/>
      <c r="CY129" s="32"/>
      <c r="CZ129" s="32"/>
      <c r="DA129" s="32"/>
      <c r="DB129" s="32"/>
      <c r="DC129" s="32"/>
      <c r="DD129" s="32"/>
      <c r="DE129" s="32"/>
      <c r="DF129" s="32"/>
      <c r="DG129" s="32"/>
      <c r="DH129" s="32"/>
      <c r="DI129" s="32"/>
      <c r="DJ129" s="35"/>
      <c r="DK129" s="35"/>
      <c r="DL129" s="35"/>
      <c r="DM129" s="35"/>
      <c r="DN129" s="35"/>
      <c r="DO129" s="35"/>
      <c r="DP129" s="35"/>
      <c r="DQ129" s="35"/>
      <c r="DR129" s="35"/>
      <c r="DS129" s="35"/>
      <c r="DT129" s="35"/>
    </row>
    <row r="130" spans="1:124">
      <c r="A130" s="81"/>
      <c r="B130" s="82"/>
      <c r="C130" s="82"/>
      <c r="D130" s="82"/>
      <c r="E130" s="82"/>
      <c r="F130" s="82"/>
      <c r="G130" s="82"/>
      <c r="H130" s="82"/>
      <c r="I130" s="82"/>
      <c r="J130" s="82"/>
      <c r="K130" s="82"/>
      <c r="L130" s="82"/>
      <c r="M130" s="31"/>
      <c r="N130" s="81"/>
      <c r="O130" s="82"/>
      <c r="P130" s="82"/>
      <c r="Q130" s="82"/>
      <c r="R130" s="82"/>
      <c r="S130" s="82"/>
      <c r="T130" s="82"/>
      <c r="U130" s="82"/>
      <c r="V130" s="82"/>
      <c r="W130" s="82"/>
      <c r="X130" s="82"/>
      <c r="Y130" s="82"/>
      <c r="Z130" s="82"/>
      <c r="AA130" s="31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2"/>
      <c r="AN130" s="32"/>
      <c r="AO130" s="32"/>
      <c r="AP130" s="32"/>
      <c r="AQ130" s="32"/>
      <c r="AR130" s="32"/>
      <c r="AS130" s="32"/>
      <c r="AT130" s="32"/>
      <c r="AU130" s="32"/>
      <c r="AV130" s="32"/>
      <c r="AW130" s="32"/>
      <c r="AX130" s="32"/>
      <c r="AY130" s="32"/>
      <c r="AZ130" s="32"/>
      <c r="BA130" s="32"/>
      <c r="BB130" s="32"/>
      <c r="BC130" s="32"/>
      <c r="BD130" s="32"/>
      <c r="BE130" s="32"/>
      <c r="BF130" s="32"/>
      <c r="BG130" s="32"/>
      <c r="BH130" s="32"/>
      <c r="BI130" s="32"/>
      <c r="BJ130" s="32"/>
      <c r="BK130" s="32"/>
      <c r="BL130" s="32"/>
      <c r="BM130" s="32"/>
      <c r="BN130" s="32"/>
      <c r="BO130" s="32"/>
      <c r="BP130" s="32"/>
      <c r="BQ130" s="32"/>
      <c r="BR130" s="32"/>
      <c r="BS130" s="32"/>
      <c r="BT130" s="32"/>
      <c r="BU130" s="32"/>
      <c r="BV130" s="32"/>
      <c r="BW130" s="32"/>
      <c r="BX130" s="32"/>
      <c r="BY130" s="32"/>
      <c r="BZ130" s="32"/>
      <c r="CA130" s="32"/>
      <c r="CB130" s="32"/>
      <c r="CC130" s="32"/>
      <c r="CD130" s="32"/>
      <c r="CE130" s="32"/>
      <c r="CF130" s="32"/>
      <c r="CG130" s="32"/>
      <c r="CH130" s="32"/>
      <c r="CI130" s="32"/>
      <c r="CJ130" s="32"/>
      <c r="CK130" s="32"/>
      <c r="CL130" s="32"/>
      <c r="CM130" s="32"/>
      <c r="CN130" s="32"/>
      <c r="CO130" s="32"/>
      <c r="CP130" s="32"/>
      <c r="CQ130" s="32"/>
      <c r="CR130" s="32"/>
      <c r="CS130" s="32"/>
      <c r="CT130" s="32"/>
      <c r="CU130" s="32"/>
      <c r="CV130" s="32"/>
      <c r="CW130" s="32"/>
      <c r="CX130" s="32"/>
      <c r="CY130" s="32"/>
      <c r="CZ130" s="32"/>
      <c r="DA130" s="32"/>
      <c r="DB130" s="32"/>
      <c r="DC130" s="32"/>
      <c r="DD130" s="32"/>
      <c r="DE130" s="32"/>
      <c r="DF130" s="32"/>
      <c r="DG130" s="32"/>
      <c r="DH130" s="32"/>
      <c r="DI130" s="32"/>
      <c r="DJ130" s="35"/>
      <c r="DK130" s="35"/>
      <c r="DL130" s="35"/>
      <c r="DM130" s="35"/>
      <c r="DN130" s="35"/>
      <c r="DO130" s="35"/>
      <c r="DP130" s="35"/>
      <c r="DQ130" s="35"/>
      <c r="DR130" s="35"/>
      <c r="DS130" s="35"/>
      <c r="DT130" s="35"/>
    </row>
    <row r="131" spans="1:124">
      <c r="A131" s="81"/>
      <c r="B131" s="82"/>
      <c r="C131" s="82"/>
      <c r="D131" s="82"/>
      <c r="E131" s="82"/>
      <c r="F131" s="82"/>
      <c r="G131" s="82"/>
      <c r="H131" s="82"/>
      <c r="I131" s="82"/>
      <c r="J131" s="82"/>
      <c r="K131" s="82"/>
      <c r="L131" s="82"/>
      <c r="M131" s="31"/>
      <c r="N131" s="81"/>
      <c r="O131" s="82"/>
      <c r="P131" s="82"/>
      <c r="Q131" s="82"/>
      <c r="R131" s="82"/>
      <c r="S131" s="82"/>
      <c r="T131" s="82"/>
      <c r="U131" s="82"/>
      <c r="V131" s="82"/>
      <c r="W131" s="82"/>
      <c r="X131" s="82"/>
      <c r="Y131" s="82"/>
      <c r="Z131" s="82"/>
      <c r="AA131" s="31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32"/>
      <c r="AN131" s="32"/>
      <c r="AO131" s="32"/>
      <c r="AP131" s="32"/>
      <c r="AQ131" s="32"/>
      <c r="AR131" s="32"/>
      <c r="AS131" s="32"/>
      <c r="AT131" s="32"/>
      <c r="AU131" s="32"/>
      <c r="AV131" s="32"/>
      <c r="AW131" s="32"/>
      <c r="AX131" s="32"/>
      <c r="AY131" s="32"/>
      <c r="AZ131" s="32"/>
      <c r="BA131" s="32"/>
      <c r="BB131" s="32"/>
      <c r="BC131" s="32"/>
      <c r="BD131" s="32"/>
      <c r="BE131" s="32"/>
      <c r="BF131" s="32"/>
      <c r="BG131" s="32"/>
      <c r="BH131" s="32"/>
      <c r="BI131" s="32"/>
      <c r="BJ131" s="32"/>
      <c r="BK131" s="32"/>
      <c r="BL131" s="32"/>
      <c r="BM131" s="32"/>
      <c r="BN131" s="32"/>
      <c r="BO131" s="32"/>
      <c r="BP131" s="32"/>
      <c r="BQ131" s="32"/>
      <c r="BR131" s="32"/>
      <c r="BS131" s="32"/>
      <c r="BT131" s="32"/>
      <c r="BU131" s="32"/>
      <c r="BV131" s="32"/>
      <c r="BW131" s="32"/>
      <c r="BX131" s="32"/>
      <c r="BY131" s="32"/>
      <c r="BZ131" s="32"/>
      <c r="CA131" s="32"/>
      <c r="CB131" s="32"/>
      <c r="CC131" s="32"/>
      <c r="CD131" s="32"/>
      <c r="CE131" s="32"/>
      <c r="CF131" s="32"/>
      <c r="CG131" s="32"/>
      <c r="CH131" s="32"/>
      <c r="CI131" s="32"/>
      <c r="CJ131" s="32"/>
      <c r="CK131" s="32"/>
      <c r="CL131" s="32"/>
      <c r="CM131" s="32"/>
      <c r="CN131" s="32"/>
      <c r="CO131" s="32"/>
      <c r="CP131" s="32"/>
      <c r="CQ131" s="32"/>
      <c r="CR131" s="32"/>
      <c r="CS131" s="32"/>
      <c r="CT131" s="32"/>
      <c r="CU131" s="32"/>
      <c r="CV131" s="32"/>
      <c r="CW131" s="32"/>
      <c r="CX131" s="32"/>
      <c r="CY131" s="32"/>
      <c r="CZ131" s="32"/>
      <c r="DA131" s="32"/>
      <c r="DB131" s="32"/>
      <c r="DC131" s="32"/>
      <c r="DD131" s="32"/>
      <c r="DE131" s="32"/>
      <c r="DF131" s="32"/>
      <c r="DG131" s="32"/>
      <c r="DH131" s="32"/>
      <c r="DI131" s="32"/>
      <c r="DJ131" s="35"/>
      <c r="DK131" s="35"/>
      <c r="DL131" s="35"/>
      <c r="DM131" s="35"/>
      <c r="DN131" s="35"/>
      <c r="DO131" s="35"/>
      <c r="DP131" s="35"/>
      <c r="DQ131" s="35"/>
      <c r="DR131" s="35"/>
      <c r="DS131" s="35"/>
      <c r="DT131" s="35"/>
    </row>
    <row r="132" spans="1:124">
      <c r="A132" s="81"/>
      <c r="B132" s="82"/>
      <c r="C132" s="82"/>
      <c r="D132" s="82"/>
      <c r="E132" s="82"/>
      <c r="F132" s="82"/>
      <c r="G132" s="82"/>
      <c r="H132" s="82"/>
      <c r="I132" s="82"/>
      <c r="J132" s="82"/>
      <c r="K132" s="82"/>
      <c r="L132" s="82"/>
      <c r="M132" s="31"/>
      <c r="N132" s="81"/>
      <c r="O132" s="82"/>
      <c r="P132" s="82"/>
      <c r="Q132" s="82"/>
      <c r="R132" s="82"/>
      <c r="S132" s="82"/>
      <c r="T132" s="82"/>
      <c r="U132" s="82"/>
      <c r="V132" s="82"/>
      <c r="W132" s="82"/>
      <c r="X132" s="82"/>
      <c r="Y132" s="82"/>
      <c r="Z132" s="82"/>
      <c r="AA132" s="31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2"/>
      <c r="AN132" s="32"/>
      <c r="AO132" s="32"/>
      <c r="AP132" s="32"/>
      <c r="AQ132" s="32"/>
      <c r="AR132" s="32"/>
      <c r="AS132" s="32"/>
      <c r="AT132" s="32"/>
      <c r="AU132" s="32"/>
      <c r="AV132" s="32"/>
      <c r="AW132" s="32"/>
      <c r="AX132" s="32"/>
      <c r="AY132" s="32"/>
      <c r="AZ132" s="32"/>
      <c r="BA132" s="32"/>
      <c r="BB132" s="32"/>
      <c r="BC132" s="32"/>
      <c r="BD132" s="32"/>
      <c r="BE132" s="32"/>
      <c r="BF132" s="32"/>
      <c r="BG132" s="32"/>
      <c r="BH132" s="32"/>
      <c r="BI132" s="32"/>
      <c r="BJ132" s="32"/>
      <c r="BK132" s="32"/>
      <c r="BL132" s="32"/>
      <c r="BM132" s="32"/>
      <c r="BN132" s="32"/>
      <c r="BO132" s="32"/>
      <c r="BP132" s="32"/>
      <c r="BQ132" s="32"/>
      <c r="BR132" s="32"/>
      <c r="BS132" s="32"/>
      <c r="BT132" s="32"/>
      <c r="BU132" s="32"/>
      <c r="BV132" s="32"/>
      <c r="BW132" s="32"/>
      <c r="BX132" s="32"/>
      <c r="BY132" s="32"/>
      <c r="BZ132" s="32"/>
      <c r="CA132" s="32"/>
      <c r="CB132" s="32"/>
      <c r="CC132" s="32"/>
      <c r="CD132" s="32"/>
      <c r="CE132" s="32"/>
      <c r="CF132" s="32"/>
      <c r="CG132" s="32"/>
      <c r="CH132" s="32"/>
      <c r="CI132" s="32"/>
      <c r="CJ132" s="32"/>
      <c r="CK132" s="32"/>
      <c r="CL132" s="32"/>
      <c r="CM132" s="32"/>
      <c r="CN132" s="32"/>
      <c r="CO132" s="32"/>
      <c r="CP132" s="32"/>
      <c r="CQ132" s="32"/>
      <c r="CR132" s="32"/>
      <c r="CS132" s="32"/>
      <c r="CT132" s="32"/>
      <c r="CU132" s="32"/>
      <c r="CV132" s="32"/>
      <c r="CW132" s="32"/>
      <c r="CX132" s="32"/>
      <c r="CY132" s="32"/>
      <c r="CZ132" s="32"/>
      <c r="DA132" s="32"/>
      <c r="DB132" s="32"/>
      <c r="DC132" s="32"/>
      <c r="DD132" s="32"/>
      <c r="DE132" s="32"/>
      <c r="DF132" s="32"/>
      <c r="DG132" s="32"/>
      <c r="DH132" s="32"/>
      <c r="DI132" s="32"/>
      <c r="DJ132" s="35"/>
      <c r="DK132" s="35"/>
      <c r="DL132" s="35"/>
      <c r="DM132" s="35"/>
      <c r="DN132" s="35"/>
      <c r="DO132" s="35"/>
      <c r="DP132" s="35"/>
      <c r="DQ132" s="35"/>
      <c r="DR132" s="35"/>
      <c r="DS132" s="35"/>
      <c r="DT132" s="35"/>
    </row>
    <row r="133" spans="1:124">
      <c r="A133" s="81"/>
      <c r="B133" s="82"/>
      <c r="C133" s="82"/>
      <c r="D133" s="82"/>
      <c r="E133" s="82"/>
      <c r="F133" s="82"/>
      <c r="G133" s="82"/>
      <c r="H133" s="82"/>
      <c r="I133" s="82"/>
      <c r="J133" s="82"/>
      <c r="K133" s="82"/>
      <c r="L133" s="82"/>
      <c r="M133" s="31"/>
      <c r="N133" s="81"/>
      <c r="O133" s="82"/>
      <c r="P133" s="82"/>
      <c r="Q133" s="82"/>
      <c r="R133" s="82"/>
      <c r="S133" s="82"/>
      <c r="T133" s="82"/>
      <c r="U133" s="82"/>
      <c r="V133" s="82"/>
      <c r="W133" s="82"/>
      <c r="X133" s="82"/>
      <c r="Y133" s="82"/>
      <c r="Z133" s="82"/>
      <c r="AA133" s="31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2"/>
      <c r="AT133" s="32"/>
      <c r="AU133" s="32"/>
      <c r="AV133" s="32"/>
      <c r="AW133" s="32"/>
      <c r="AX133" s="32"/>
      <c r="AY133" s="32"/>
      <c r="AZ133" s="32"/>
      <c r="BA133" s="32"/>
      <c r="BB133" s="32"/>
      <c r="BC133" s="32"/>
      <c r="BD133" s="32"/>
      <c r="BE133" s="32"/>
      <c r="BF133" s="32"/>
      <c r="BG133" s="32"/>
      <c r="BH133" s="32"/>
      <c r="BI133" s="32"/>
      <c r="BJ133" s="32"/>
      <c r="BK133" s="32"/>
      <c r="BL133" s="32"/>
      <c r="BM133" s="32"/>
      <c r="BN133" s="32"/>
      <c r="BO133" s="32"/>
      <c r="BP133" s="32"/>
      <c r="BQ133" s="32"/>
      <c r="BR133" s="32"/>
      <c r="BS133" s="32"/>
      <c r="BT133" s="32"/>
      <c r="BU133" s="32"/>
      <c r="BV133" s="32"/>
      <c r="BW133" s="32"/>
      <c r="BX133" s="32"/>
      <c r="BY133" s="32"/>
      <c r="BZ133" s="32"/>
      <c r="CA133" s="32"/>
      <c r="CB133" s="32"/>
      <c r="CC133" s="32"/>
      <c r="CD133" s="32"/>
      <c r="CE133" s="32"/>
      <c r="CF133" s="32"/>
      <c r="CG133" s="32"/>
      <c r="CH133" s="32"/>
      <c r="CI133" s="32"/>
      <c r="CJ133" s="32"/>
      <c r="CK133" s="32"/>
      <c r="CL133" s="32"/>
      <c r="CM133" s="32"/>
      <c r="CN133" s="32"/>
      <c r="CO133" s="32"/>
      <c r="CP133" s="32"/>
      <c r="CQ133" s="32"/>
      <c r="CR133" s="32"/>
      <c r="CS133" s="32"/>
      <c r="CT133" s="32"/>
      <c r="CU133" s="32"/>
      <c r="CV133" s="32"/>
      <c r="CW133" s="32"/>
      <c r="CX133" s="32"/>
      <c r="CY133" s="32"/>
      <c r="CZ133" s="32"/>
      <c r="DA133" s="32"/>
      <c r="DB133" s="32"/>
      <c r="DC133" s="32"/>
      <c r="DD133" s="32"/>
      <c r="DE133" s="32"/>
      <c r="DF133" s="32"/>
      <c r="DG133" s="32"/>
      <c r="DH133" s="32"/>
      <c r="DI133" s="32"/>
      <c r="DJ133" s="35"/>
      <c r="DK133" s="35"/>
      <c r="DL133" s="35"/>
      <c r="DM133" s="35"/>
      <c r="DN133" s="35"/>
      <c r="DO133" s="35"/>
      <c r="DP133" s="35"/>
      <c r="DQ133" s="35"/>
      <c r="DR133" s="35"/>
      <c r="DS133" s="35"/>
      <c r="DT133" s="35"/>
    </row>
    <row r="134" spans="1:124">
      <c r="A134" s="81"/>
      <c r="B134" s="82"/>
      <c r="C134" s="82"/>
      <c r="D134" s="82"/>
      <c r="E134" s="82"/>
      <c r="F134" s="82"/>
      <c r="G134" s="82"/>
      <c r="H134" s="82"/>
      <c r="I134" s="82"/>
      <c r="J134" s="82"/>
      <c r="K134" s="82"/>
      <c r="L134" s="82"/>
      <c r="M134" s="31"/>
      <c r="N134" s="81"/>
      <c r="O134" s="82"/>
      <c r="P134" s="82"/>
      <c r="Q134" s="82"/>
      <c r="R134" s="82"/>
      <c r="S134" s="82"/>
      <c r="T134" s="82"/>
      <c r="U134" s="82"/>
      <c r="V134" s="82"/>
      <c r="W134" s="82"/>
      <c r="X134" s="82"/>
      <c r="Y134" s="82"/>
      <c r="Z134" s="82"/>
      <c r="AA134" s="31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2"/>
      <c r="AT134" s="32"/>
      <c r="AU134" s="32"/>
      <c r="AV134" s="32"/>
      <c r="AW134" s="32"/>
      <c r="AX134" s="32"/>
      <c r="AY134" s="32"/>
      <c r="AZ134" s="32"/>
      <c r="BA134" s="32"/>
      <c r="BB134" s="32"/>
      <c r="BC134" s="32"/>
      <c r="BD134" s="32"/>
      <c r="BE134" s="32"/>
      <c r="BF134" s="32"/>
      <c r="BG134" s="32"/>
      <c r="BH134" s="32"/>
      <c r="BI134" s="32"/>
      <c r="BJ134" s="32"/>
      <c r="BK134" s="32"/>
      <c r="BL134" s="32"/>
      <c r="BM134" s="32"/>
      <c r="BN134" s="32"/>
      <c r="BO134" s="32"/>
      <c r="BP134" s="32"/>
      <c r="BQ134" s="32"/>
      <c r="BR134" s="32"/>
      <c r="BS134" s="32"/>
      <c r="BT134" s="32"/>
      <c r="BU134" s="32"/>
      <c r="BV134" s="32"/>
      <c r="BW134" s="32"/>
      <c r="BX134" s="32"/>
      <c r="BY134" s="32"/>
      <c r="BZ134" s="32"/>
      <c r="CA134" s="32"/>
      <c r="CB134" s="32"/>
      <c r="CC134" s="32"/>
      <c r="CD134" s="32"/>
      <c r="CE134" s="32"/>
      <c r="CF134" s="32"/>
      <c r="CG134" s="32"/>
      <c r="CH134" s="32"/>
      <c r="CI134" s="32"/>
      <c r="CJ134" s="32"/>
      <c r="CK134" s="32"/>
      <c r="CL134" s="32"/>
      <c r="CM134" s="32"/>
      <c r="CN134" s="32"/>
      <c r="CO134" s="32"/>
      <c r="CP134" s="32"/>
      <c r="CQ134" s="32"/>
      <c r="CR134" s="32"/>
      <c r="CS134" s="32"/>
      <c r="CT134" s="32"/>
      <c r="CU134" s="32"/>
      <c r="CV134" s="32"/>
      <c r="CW134" s="32"/>
      <c r="CX134" s="32"/>
      <c r="CY134" s="32"/>
      <c r="CZ134" s="32"/>
      <c r="DA134" s="32"/>
      <c r="DB134" s="32"/>
      <c r="DC134" s="32"/>
      <c r="DD134" s="32"/>
      <c r="DE134" s="32"/>
      <c r="DF134" s="32"/>
      <c r="DG134" s="32"/>
      <c r="DH134" s="32"/>
      <c r="DI134" s="32"/>
      <c r="DJ134" s="35"/>
      <c r="DK134" s="35"/>
      <c r="DL134" s="35"/>
      <c r="DM134" s="35"/>
      <c r="DN134" s="35"/>
      <c r="DO134" s="35"/>
      <c r="DP134" s="35"/>
      <c r="DQ134" s="35"/>
      <c r="DR134" s="35"/>
      <c r="DS134" s="35"/>
      <c r="DT134" s="35"/>
    </row>
    <row r="135" spans="1:124">
      <c r="A135" s="81"/>
      <c r="B135" s="82"/>
      <c r="C135" s="82"/>
      <c r="D135" s="82"/>
      <c r="E135" s="82"/>
      <c r="F135" s="82"/>
      <c r="G135" s="82"/>
      <c r="H135" s="82"/>
      <c r="I135" s="82"/>
      <c r="J135" s="82"/>
      <c r="K135" s="82"/>
      <c r="L135" s="82"/>
      <c r="M135" s="31"/>
      <c r="N135" s="81"/>
      <c r="O135" s="82"/>
      <c r="P135" s="82"/>
      <c r="Q135" s="82"/>
      <c r="R135" s="82"/>
      <c r="S135" s="82"/>
      <c r="T135" s="82"/>
      <c r="U135" s="82"/>
      <c r="V135" s="82"/>
      <c r="W135" s="82"/>
      <c r="X135" s="82"/>
      <c r="Y135" s="82"/>
      <c r="Z135" s="82"/>
      <c r="AA135" s="31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/>
      <c r="AT135" s="32"/>
      <c r="AU135" s="32"/>
      <c r="AV135" s="32"/>
      <c r="AW135" s="32"/>
      <c r="AX135" s="32"/>
      <c r="AY135" s="32"/>
      <c r="AZ135" s="32"/>
      <c r="BA135" s="32"/>
      <c r="BB135" s="32"/>
      <c r="BC135" s="32"/>
      <c r="BD135" s="32"/>
      <c r="BE135" s="32"/>
      <c r="BF135" s="32"/>
      <c r="BG135" s="32"/>
      <c r="BH135" s="32"/>
      <c r="BI135" s="32"/>
      <c r="BJ135" s="32"/>
      <c r="BK135" s="32"/>
      <c r="BL135" s="32"/>
      <c r="BM135" s="32"/>
      <c r="BN135" s="32"/>
      <c r="BO135" s="32"/>
      <c r="BP135" s="32"/>
      <c r="BQ135" s="32"/>
      <c r="BR135" s="32"/>
      <c r="BS135" s="32"/>
      <c r="BT135" s="32"/>
      <c r="BU135" s="32"/>
      <c r="BV135" s="32"/>
      <c r="BW135" s="32"/>
      <c r="BX135" s="32"/>
      <c r="BY135" s="32"/>
      <c r="BZ135" s="32"/>
      <c r="CA135" s="32"/>
      <c r="CB135" s="32"/>
      <c r="CC135" s="32"/>
      <c r="CD135" s="32"/>
      <c r="CE135" s="32"/>
      <c r="CF135" s="32"/>
      <c r="CG135" s="32"/>
      <c r="CH135" s="32"/>
      <c r="CI135" s="32"/>
      <c r="CJ135" s="32"/>
      <c r="CK135" s="32"/>
      <c r="CL135" s="32"/>
      <c r="CM135" s="32"/>
      <c r="CN135" s="32"/>
      <c r="CO135" s="32"/>
      <c r="CP135" s="32"/>
      <c r="CQ135" s="32"/>
      <c r="CR135" s="32"/>
      <c r="CS135" s="32"/>
      <c r="CT135" s="32"/>
      <c r="CU135" s="32"/>
      <c r="CV135" s="32"/>
      <c r="CW135" s="32"/>
      <c r="CX135" s="32"/>
      <c r="CY135" s="32"/>
      <c r="CZ135" s="32"/>
      <c r="DA135" s="32"/>
      <c r="DB135" s="32"/>
      <c r="DC135" s="32"/>
      <c r="DD135" s="32"/>
      <c r="DE135" s="32"/>
      <c r="DF135" s="32"/>
      <c r="DG135" s="32"/>
      <c r="DH135" s="32"/>
      <c r="DI135" s="32"/>
      <c r="DJ135" s="35"/>
      <c r="DK135" s="35"/>
      <c r="DL135" s="35"/>
      <c r="DM135" s="35"/>
      <c r="DN135" s="35"/>
      <c r="DO135" s="35"/>
      <c r="DP135" s="35"/>
      <c r="DQ135" s="35"/>
      <c r="DR135" s="35"/>
      <c r="DS135" s="35"/>
      <c r="DT135" s="35"/>
    </row>
    <row r="136" spans="1:124">
      <c r="A136" s="81"/>
      <c r="B136" s="82"/>
      <c r="C136" s="82"/>
      <c r="D136" s="82"/>
      <c r="E136" s="82"/>
      <c r="F136" s="82"/>
      <c r="G136" s="82"/>
      <c r="H136" s="82"/>
      <c r="I136" s="82"/>
      <c r="J136" s="82"/>
      <c r="K136" s="82"/>
      <c r="L136" s="82"/>
      <c r="M136" s="31"/>
      <c r="N136" s="81"/>
      <c r="O136" s="82"/>
      <c r="P136" s="82"/>
      <c r="Q136" s="82"/>
      <c r="R136" s="82"/>
      <c r="S136" s="82"/>
      <c r="T136" s="82"/>
      <c r="U136" s="82"/>
      <c r="V136" s="82"/>
      <c r="W136" s="82"/>
      <c r="X136" s="82"/>
      <c r="Y136" s="82"/>
      <c r="Z136" s="82"/>
      <c r="AA136" s="31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/>
      <c r="AT136" s="32"/>
      <c r="AU136" s="32"/>
      <c r="AV136" s="32"/>
      <c r="AW136" s="32"/>
      <c r="AX136" s="32"/>
      <c r="AY136" s="32"/>
      <c r="AZ136" s="32"/>
      <c r="BA136" s="32"/>
      <c r="BB136" s="32"/>
      <c r="BC136" s="32"/>
      <c r="BD136" s="32"/>
      <c r="BE136" s="32"/>
      <c r="BF136" s="32"/>
      <c r="BG136" s="32"/>
      <c r="BH136" s="32"/>
      <c r="BI136" s="32"/>
      <c r="BJ136" s="32"/>
      <c r="BK136" s="32"/>
      <c r="BL136" s="32"/>
      <c r="BM136" s="32"/>
      <c r="BN136" s="32"/>
      <c r="BO136" s="32"/>
      <c r="BP136" s="32"/>
      <c r="BQ136" s="32"/>
      <c r="BR136" s="32"/>
      <c r="BS136" s="32"/>
      <c r="BT136" s="32"/>
      <c r="BU136" s="32"/>
      <c r="BV136" s="32"/>
      <c r="BW136" s="32"/>
      <c r="BX136" s="32"/>
      <c r="BY136" s="32"/>
      <c r="BZ136" s="32"/>
      <c r="CA136" s="32"/>
      <c r="CB136" s="32"/>
      <c r="CC136" s="32"/>
      <c r="CD136" s="32"/>
      <c r="CE136" s="32"/>
      <c r="CF136" s="32"/>
      <c r="CG136" s="32"/>
      <c r="CH136" s="32"/>
      <c r="CI136" s="32"/>
      <c r="CJ136" s="32"/>
      <c r="CK136" s="32"/>
      <c r="CL136" s="32"/>
      <c r="CM136" s="32"/>
      <c r="CN136" s="32"/>
      <c r="CO136" s="32"/>
      <c r="CP136" s="32"/>
      <c r="CQ136" s="32"/>
      <c r="CR136" s="32"/>
      <c r="CS136" s="32"/>
      <c r="CT136" s="32"/>
      <c r="CU136" s="32"/>
      <c r="CV136" s="32"/>
      <c r="CW136" s="32"/>
      <c r="CX136" s="32"/>
      <c r="CY136" s="32"/>
      <c r="CZ136" s="32"/>
      <c r="DA136" s="32"/>
      <c r="DB136" s="32"/>
      <c r="DC136" s="32"/>
      <c r="DD136" s="32"/>
      <c r="DE136" s="32"/>
      <c r="DF136" s="32"/>
      <c r="DG136" s="32"/>
      <c r="DH136" s="32"/>
      <c r="DI136" s="32"/>
      <c r="DJ136" s="35"/>
      <c r="DK136" s="35"/>
      <c r="DL136" s="35"/>
      <c r="DM136" s="35"/>
      <c r="DN136" s="35"/>
      <c r="DO136" s="35"/>
      <c r="DP136" s="35"/>
      <c r="DQ136" s="35"/>
      <c r="DR136" s="35"/>
      <c r="DS136" s="35"/>
      <c r="DT136" s="35"/>
    </row>
    <row r="137" spans="1:124">
      <c r="A137" s="81"/>
      <c r="B137" s="82"/>
      <c r="C137" s="82"/>
      <c r="D137" s="82"/>
      <c r="E137" s="82"/>
      <c r="F137" s="82"/>
      <c r="G137" s="82"/>
      <c r="H137" s="82"/>
      <c r="I137" s="82"/>
      <c r="J137" s="82"/>
      <c r="K137" s="82"/>
      <c r="L137" s="82"/>
      <c r="M137" s="31"/>
      <c r="N137" s="81"/>
      <c r="O137" s="82"/>
      <c r="P137" s="82"/>
      <c r="Q137" s="82"/>
      <c r="R137" s="82"/>
      <c r="S137" s="82"/>
      <c r="T137" s="82"/>
      <c r="U137" s="82"/>
      <c r="V137" s="82"/>
      <c r="W137" s="82"/>
      <c r="X137" s="82"/>
      <c r="Y137" s="82"/>
      <c r="Z137" s="82"/>
      <c r="AA137" s="31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  <c r="AU137" s="32"/>
      <c r="AV137" s="32"/>
      <c r="AW137" s="32"/>
      <c r="AX137" s="32"/>
      <c r="AY137" s="32"/>
      <c r="AZ137" s="32"/>
      <c r="BA137" s="32"/>
      <c r="BB137" s="32"/>
      <c r="BC137" s="32"/>
      <c r="BD137" s="32"/>
      <c r="BE137" s="32"/>
      <c r="BF137" s="32"/>
      <c r="BG137" s="32"/>
      <c r="BH137" s="32"/>
      <c r="BI137" s="32"/>
      <c r="BJ137" s="32"/>
      <c r="BK137" s="32"/>
      <c r="BL137" s="32"/>
      <c r="BM137" s="32"/>
      <c r="BN137" s="32"/>
      <c r="BO137" s="32"/>
      <c r="BP137" s="32"/>
      <c r="BQ137" s="32"/>
      <c r="BR137" s="32"/>
      <c r="BS137" s="32"/>
      <c r="BT137" s="32"/>
      <c r="BU137" s="32"/>
      <c r="BV137" s="32"/>
      <c r="BW137" s="32"/>
      <c r="BX137" s="32"/>
      <c r="BY137" s="32"/>
      <c r="BZ137" s="32"/>
      <c r="CA137" s="32"/>
      <c r="CB137" s="32"/>
      <c r="CC137" s="32"/>
      <c r="CD137" s="32"/>
      <c r="CE137" s="32"/>
      <c r="CF137" s="32"/>
      <c r="CG137" s="32"/>
      <c r="CH137" s="32"/>
      <c r="CI137" s="32"/>
      <c r="CJ137" s="32"/>
      <c r="CK137" s="32"/>
      <c r="CL137" s="32"/>
      <c r="CM137" s="32"/>
      <c r="CN137" s="32"/>
      <c r="CO137" s="32"/>
      <c r="CP137" s="32"/>
      <c r="CQ137" s="32"/>
      <c r="CR137" s="32"/>
      <c r="CS137" s="32"/>
      <c r="CT137" s="32"/>
      <c r="CU137" s="32"/>
      <c r="CV137" s="32"/>
      <c r="CW137" s="32"/>
      <c r="CX137" s="32"/>
      <c r="CY137" s="32"/>
      <c r="CZ137" s="32"/>
      <c r="DA137" s="32"/>
      <c r="DB137" s="32"/>
      <c r="DC137" s="32"/>
      <c r="DD137" s="32"/>
      <c r="DE137" s="32"/>
      <c r="DF137" s="32"/>
      <c r="DG137" s="32"/>
      <c r="DH137" s="32"/>
      <c r="DI137" s="32"/>
      <c r="DJ137" s="35"/>
      <c r="DK137" s="35"/>
      <c r="DL137" s="35"/>
      <c r="DM137" s="35"/>
      <c r="DN137" s="35"/>
      <c r="DO137" s="35"/>
      <c r="DP137" s="35"/>
      <c r="DQ137" s="35"/>
      <c r="DR137" s="35"/>
      <c r="DS137" s="35"/>
      <c r="DT137" s="35"/>
    </row>
    <row r="138" spans="1:124">
      <c r="A138" s="81"/>
      <c r="B138" s="82"/>
      <c r="C138" s="82"/>
      <c r="D138" s="82"/>
      <c r="E138" s="82"/>
      <c r="F138" s="82"/>
      <c r="G138" s="82"/>
      <c r="H138" s="82"/>
      <c r="I138" s="82"/>
      <c r="J138" s="82"/>
      <c r="K138" s="82"/>
      <c r="L138" s="82"/>
      <c r="M138" s="31"/>
      <c r="N138" s="81"/>
      <c r="O138" s="82"/>
      <c r="P138" s="82"/>
      <c r="Q138" s="82"/>
      <c r="R138" s="82"/>
      <c r="S138" s="82"/>
      <c r="T138" s="82"/>
      <c r="U138" s="82"/>
      <c r="V138" s="82"/>
      <c r="W138" s="82"/>
      <c r="X138" s="82"/>
      <c r="Y138" s="82"/>
      <c r="Z138" s="82"/>
      <c r="AA138" s="31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  <c r="AU138" s="32"/>
      <c r="AV138" s="32"/>
      <c r="AW138" s="32"/>
      <c r="AX138" s="32"/>
      <c r="AY138" s="32"/>
      <c r="AZ138" s="32"/>
      <c r="BA138" s="32"/>
      <c r="BB138" s="32"/>
      <c r="BC138" s="32"/>
      <c r="BD138" s="32"/>
      <c r="BE138" s="32"/>
      <c r="BF138" s="32"/>
      <c r="BG138" s="32"/>
      <c r="BH138" s="32"/>
      <c r="BI138" s="32"/>
      <c r="BJ138" s="32"/>
      <c r="BK138" s="32"/>
      <c r="BL138" s="32"/>
      <c r="BM138" s="32"/>
      <c r="BN138" s="32"/>
      <c r="BO138" s="32"/>
      <c r="BP138" s="32"/>
      <c r="BQ138" s="32"/>
      <c r="BR138" s="32"/>
      <c r="BS138" s="32"/>
      <c r="BT138" s="32"/>
      <c r="BU138" s="32"/>
      <c r="BV138" s="32"/>
      <c r="BW138" s="32"/>
      <c r="BX138" s="32"/>
      <c r="BY138" s="32"/>
      <c r="BZ138" s="32"/>
      <c r="CA138" s="32"/>
      <c r="CB138" s="32"/>
      <c r="CC138" s="32"/>
      <c r="CD138" s="32"/>
      <c r="CE138" s="32"/>
      <c r="CF138" s="32"/>
      <c r="CG138" s="32"/>
      <c r="CH138" s="32"/>
      <c r="CI138" s="32"/>
      <c r="CJ138" s="32"/>
      <c r="CK138" s="32"/>
      <c r="CL138" s="32"/>
      <c r="CM138" s="32"/>
      <c r="CN138" s="32"/>
      <c r="CO138" s="32"/>
      <c r="CP138" s="32"/>
      <c r="CQ138" s="32"/>
      <c r="CR138" s="32"/>
      <c r="CS138" s="32"/>
      <c r="CT138" s="32"/>
      <c r="CU138" s="32"/>
      <c r="CV138" s="32"/>
      <c r="CW138" s="32"/>
      <c r="CX138" s="32"/>
      <c r="CY138" s="32"/>
      <c r="CZ138" s="32"/>
      <c r="DA138" s="32"/>
      <c r="DB138" s="32"/>
      <c r="DC138" s="32"/>
      <c r="DD138" s="32"/>
      <c r="DE138" s="32"/>
      <c r="DF138" s="32"/>
      <c r="DG138" s="32"/>
      <c r="DH138" s="32"/>
      <c r="DI138" s="32"/>
      <c r="DJ138" s="35"/>
      <c r="DK138" s="35"/>
      <c r="DL138" s="35"/>
      <c r="DM138" s="35"/>
      <c r="DN138" s="35"/>
      <c r="DO138" s="35"/>
      <c r="DP138" s="35"/>
      <c r="DQ138" s="35"/>
      <c r="DR138" s="35"/>
      <c r="DS138" s="35"/>
      <c r="DT138" s="35"/>
    </row>
    <row r="139" spans="1:124">
      <c r="A139" s="81"/>
      <c r="B139" s="82"/>
      <c r="C139" s="82"/>
      <c r="D139" s="82"/>
      <c r="E139" s="82"/>
      <c r="F139" s="82"/>
      <c r="G139" s="82"/>
      <c r="H139" s="82"/>
      <c r="I139" s="82"/>
      <c r="J139" s="82"/>
      <c r="K139" s="82"/>
      <c r="L139" s="82"/>
      <c r="M139" s="31"/>
      <c r="N139" s="81"/>
      <c r="O139" s="82"/>
      <c r="P139" s="82"/>
      <c r="Q139" s="82"/>
      <c r="R139" s="82"/>
      <c r="S139" s="82"/>
      <c r="T139" s="82"/>
      <c r="U139" s="82"/>
      <c r="V139" s="82"/>
      <c r="W139" s="82"/>
      <c r="X139" s="82"/>
      <c r="Y139" s="82"/>
      <c r="Z139" s="82"/>
      <c r="AA139" s="31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  <c r="AU139" s="32"/>
      <c r="AV139" s="32"/>
      <c r="AW139" s="32"/>
      <c r="AX139" s="32"/>
      <c r="AY139" s="32"/>
      <c r="AZ139" s="32"/>
      <c r="BA139" s="32"/>
      <c r="BB139" s="32"/>
      <c r="BC139" s="32"/>
      <c r="BD139" s="32"/>
      <c r="BE139" s="32"/>
      <c r="BF139" s="32"/>
      <c r="BG139" s="32"/>
      <c r="BH139" s="32"/>
      <c r="BI139" s="32"/>
      <c r="BJ139" s="32"/>
      <c r="BK139" s="32"/>
      <c r="BL139" s="32"/>
      <c r="BM139" s="32"/>
      <c r="BN139" s="32"/>
      <c r="BO139" s="32"/>
      <c r="BP139" s="32"/>
      <c r="BQ139" s="32"/>
      <c r="BR139" s="32"/>
      <c r="BS139" s="32"/>
      <c r="BT139" s="32"/>
      <c r="BU139" s="32"/>
      <c r="BV139" s="32"/>
      <c r="BW139" s="32"/>
      <c r="BX139" s="32"/>
      <c r="BY139" s="32"/>
      <c r="BZ139" s="32"/>
      <c r="CA139" s="32"/>
      <c r="CB139" s="32"/>
      <c r="CC139" s="32"/>
      <c r="CD139" s="32"/>
      <c r="CE139" s="32"/>
      <c r="CF139" s="32"/>
      <c r="CG139" s="32"/>
      <c r="CH139" s="32"/>
      <c r="CI139" s="32"/>
      <c r="CJ139" s="32"/>
      <c r="CK139" s="32"/>
      <c r="CL139" s="32"/>
      <c r="CM139" s="32"/>
      <c r="CN139" s="32"/>
      <c r="CO139" s="32"/>
      <c r="CP139" s="32"/>
      <c r="CQ139" s="32"/>
      <c r="CR139" s="32"/>
      <c r="CS139" s="32"/>
      <c r="CT139" s="32"/>
      <c r="CU139" s="32"/>
      <c r="CV139" s="32"/>
      <c r="CW139" s="32"/>
      <c r="CX139" s="32"/>
      <c r="CY139" s="32"/>
      <c r="CZ139" s="32"/>
      <c r="DA139" s="32"/>
      <c r="DB139" s="32"/>
      <c r="DC139" s="32"/>
      <c r="DD139" s="32"/>
      <c r="DE139" s="32"/>
      <c r="DF139" s="32"/>
      <c r="DG139" s="32"/>
      <c r="DH139" s="32"/>
      <c r="DI139" s="32"/>
      <c r="DJ139" s="35"/>
      <c r="DK139" s="35"/>
      <c r="DL139" s="35"/>
      <c r="DM139" s="35"/>
      <c r="DN139" s="35"/>
      <c r="DO139" s="35"/>
      <c r="DP139" s="35"/>
      <c r="DQ139" s="35"/>
      <c r="DR139" s="35"/>
      <c r="DS139" s="35"/>
      <c r="DT139" s="35"/>
    </row>
    <row r="140" spans="1:124">
      <c r="A140" s="81"/>
      <c r="B140" s="82"/>
      <c r="C140" s="82"/>
      <c r="D140" s="82"/>
      <c r="E140" s="82"/>
      <c r="F140" s="82"/>
      <c r="G140" s="82"/>
      <c r="H140" s="82"/>
      <c r="I140" s="82"/>
      <c r="J140" s="82"/>
      <c r="K140" s="82"/>
      <c r="L140" s="82"/>
      <c r="M140" s="31"/>
      <c r="N140" s="81"/>
      <c r="O140" s="82"/>
      <c r="P140" s="82"/>
      <c r="Q140" s="82"/>
      <c r="R140" s="82"/>
      <c r="S140" s="82"/>
      <c r="T140" s="82"/>
      <c r="U140" s="82"/>
      <c r="V140" s="82"/>
      <c r="W140" s="82"/>
      <c r="X140" s="82"/>
      <c r="Y140" s="82"/>
      <c r="Z140" s="82"/>
      <c r="AA140" s="31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  <c r="AU140" s="32"/>
      <c r="AV140" s="32"/>
      <c r="AW140" s="32"/>
      <c r="AX140" s="32"/>
      <c r="AY140" s="32"/>
      <c r="AZ140" s="32"/>
      <c r="BA140" s="32"/>
      <c r="BB140" s="32"/>
      <c r="BC140" s="32"/>
      <c r="BD140" s="32"/>
      <c r="BE140" s="32"/>
      <c r="BF140" s="32"/>
      <c r="BG140" s="32"/>
      <c r="BH140" s="32"/>
      <c r="BI140" s="32"/>
      <c r="BJ140" s="32"/>
      <c r="BK140" s="32"/>
      <c r="BL140" s="32"/>
      <c r="BM140" s="32"/>
      <c r="BN140" s="32"/>
      <c r="BO140" s="32"/>
      <c r="BP140" s="32"/>
      <c r="BQ140" s="32"/>
      <c r="BR140" s="32"/>
      <c r="BS140" s="32"/>
      <c r="BT140" s="32"/>
      <c r="BU140" s="32"/>
      <c r="BV140" s="32"/>
      <c r="BW140" s="32"/>
      <c r="BX140" s="32"/>
      <c r="BY140" s="32"/>
      <c r="BZ140" s="32"/>
      <c r="CA140" s="32"/>
      <c r="CB140" s="32"/>
      <c r="CC140" s="32"/>
      <c r="CD140" s="32"/>
      <c r="CE140" s="32"/>
      <c r="CF140" s="32"/>
      <c r="CG140" s="32"/>
      <c r="CH140" s="32"/>
      <c r="CI140" s="32"/>
      <c r="CJ140" s="32"/>
      <c r="CK140" s="32"/>
      <c r="CL140" s="32"/>
      <c r="CM140" s="32"/>
      <c r="CN140" s="32"/>
      <c r="CO140" s="32"/>
      <c r="CP140" s="32"/>
      <c r="CQ140" s="32"/>
      <c r="CR140" s="32"/>
      <c r="CS140" s="32"/>
      <c r="CT140" s="32"/>
      <c r="CU140" s="32"/>
      <c r="CV140" s="32"/>
      <c r="CW140" s="32"/>
      <c r="CX140" s="32"/>
      <c r="CY140" s="32"/>
      <c r="CZ140" s="32"/>
      <c r="DA140" s="32"/>
      <c r="DB140" s="32"/>
      <c r="DC140" s="32"/>
      <c r="DD140" s="32"/>
      <c r="DE140" s="32"/>
      <c r="DF140" s="32"/>
      <c r="DG140" s="32"/>
      <c r="DH140" s="32"/>
      <c r="DI140" s="32"/>
      <c r="DJ140" s="35"/>
      <c r="DK140" s="35"/>
      <c r="DL140" s="35"/>
      <c r="DM140" s="35"/>
      <c r="DN140" s="35"/>
      <c r="DO140" s="35"/>
      <c r="DP140" s="35"/>
      <c r="DQ140" s="35"/>
      <c r="DR140" s="35"/>
      <c r="DS140" s="35"/>
      <c r="DT140" s="35"/>
    </row>
    <row r="141" spans="1:124">
      <c r="A141" s="81"/>
      <c r="B141" s="82"/>
      <c r="C141" s="82"/>
      <c r="D141" s="82"/>
      <c r="E141" s="82"/>
      <c r="F141" s="82"/>
      <c r="G141" s="82"/>
      <c r="H141" s="82"/>
      <c r="I141" s="82"/>
      <c r="J141" s="82"/>
      <c r="K141" s="82"/>
      <c r="L141" s="82"/>
      <c r="M141" s="31"/>
      <c r="N141" s="81"/>
      <c r="O141" s="82"/>
      <c r="P141" s="82"/>
      <c r="Q141" s="82"/>
      <c r="R141" s="82"/>
      <c r="S141" s="82"/>
      <c r="T141" s="82"/>
      <c r="U141" s="82"/>
      <c r="V141" s="82"/>
      <c r="W141" s="82"/>
      <c r="X141" s="82"/>
      <c r="Y141" s="82"/>
      <c r="Z141" s="82"/>
      <c r="AA141" s="31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  <c r="AO141" s="32"/>
      <c r="AP141" s="32"/>
      <c r="AQ141" s="32"/>
      <c r="AR141" s="32"/>
      <c r="AS141" s="32"/>
      <c r="AT141" s="32"/>
      <c r="AU141" s="32"/>
      <c r="AV141" s="32"/>
      <c r="AW141" s="32"/>
      <c r="AX141" s="32"/>
      <c r="AY141" s="32"/>
      <c r="AZ141" s="32"/>
      <c r="BA141" s="32"/>
      <c r="BB141" s="32"/>
      <c r="BC141" s="32"/>
      <c r="BD141" s="32"/>
      <c r="BE141" s="32"/>
      <c r="BF141" s="32"/>
      <c r="BG141" s="32"/>
      <c r="BH141" s="32"/>
      <c r="BI141" s="32"/>
      <c r="BJ141" s="32"/>
      <c r="BK141" s="32"/>
      <c r="BL141" s="32"/>
      <c r="BM141" s="32"/>
      <c r="BN141" s="32"/>
      <c r="BO141" s="32"/>
      <c r="BP141" s="32"/>
      <c r="BQ141" s="32"/>
      <c r="BR141" s="32"/>
      <c r="BS141" s="32"/>
      <c r="BT141" s="32"/>
      <c r="BU141" s="32"/>
      <c r="BV141" s="32"/>
      <c r="BW141" s="32"/>
      <c r="BX141" s="32"/>
      <c r="BY141" s="32"/>
      <c r="BZ141" s="32"/>
      <c r="CA141" s="32"/>
      <c r="CB141" s="32"/>
      <c r="CC141" s="32"/>
      <c r="CD141" s="32"/>
      <c r="CE141" s="32"/>
      <c r="CF141" s="32"/>
      <c r="CG141" s="32"/>
      <c r="CH141" s="32"/>
      <c r="CI141" s="32"/>
      <c r="CJ141" s="32"/>
      <c r="CK141" s="32"/>
      <c r="CL141" s="32"/>
      <c r="CM141" s="32"/>
      <c r="CN141" s="32"/>
      <c r="CO141" s="32"/>
      <c r="CP141" s="32"/>
      <c r="CQ141" s="32"/>
      <c r="CR141" s="32"/>
      <c r="CS141" s="32"/>
      <c r="CT141" s="32"/>
      <c r="CU141" s="32"/>
      <c r="CV141" s="32"/>
      <c r="CW141" s="32"/>
      <c r="CX141" s="32"/>
      <c r="CY141" s="32"/>
      <c r="CZ141" s="32"/>
      <c r="DA141" s="32"/>
      <c r="DB141" s="32"/>
      <c r="DC141" s="32"/>
      <c r="DD141" s="32"/>
      <c r="DE141" s="32"/>
      <c r="DF141" s="32"/>
      <c r="DG141" s="32"/>
      <c r="DH141" s="32"/>
      <c r="DI141" s="32"/>
      <c r="DJ141" s="35"/>
      <c r="DK141" s="35"/>
      <c r="DL141" s="35"/>
      <c r="DM141" s="35"/>
      <c r="DN141" s="35"/>
      <c r="DO141" s="35"/>
      <c r="DP141" s="35"/>
      <c r="DQ141" s="35"/>
      <c r="DR141" s="35"/>
      <c r="DS141" s="35"/>
      <c r="DT141" s="35"/>
    </row>
    <row r="142" spans="1:124">
      <c r="A142" s="25"/>
      <c r="B142" s="26"/>
      <c r="C142" s="26" t="s">
        <v>482</v>
      </c>
      <c r="D142" s="26"/>
      <c r="E142" s="26"/>
      <c r="F142" s="26"/>
      <c r="G142" s="26"/>
      <c r="H142" s="26"/>
      <c r="I142" s="26"/>
      <c r="J142" s="26"/>
      <c r="K142" s="26"/>
      <c r="L142" s="26"/>
      <c r="M142" s="31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31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  <c r="AU142" s="32"/>
      <c r="AV142" s="32"/>
      <c r="AW142" s="32"/>
      <c r="AX142" s="32"/>
      <c r="AY142" s="32"/>
      <c r="AZ142" s="32"/>
      <c r="BA142" s="32"/>
      <c r="BB142" s="32"/>
      <c r="BC142" s="32"/>
      <c r="BD142" s="32"/>
      <c r="BE142" s="32"/>
      <c r="BF142" s="32"/>
      <c r="BG142" s="32"/>
      <c r="BH142" s="32"/>
      <c r="BI142" s="32"/>
      <c r="BJ142" s="32"/>
      <c r="BK142" s="32"/>
      <c r="BL142" s="32"/>
      <c r="BM142" s="32"/>
      <c r="BN142" s="32"/>
      <c r="BO142" s="32"/>
      <c r="BP142" s="32"/>
      <c r="BQ142" s="32"/>
      <c r="BR142" s="32"/>
      <c r="BS142" s="32"/>
      <c r="BT142" s="32"/>
      <c r="BU142" s="32"/>
      <c r="BV142" s="32"/>
      <c r="BW142" s="32"/>
      <c r="BX142" s="32"/>
      <c r="BY142" s="32">
        <f>BY87+1</f>
        <v>88</v>
      </c>
      <c r="BZ142" s="32" t="s">
        <v>483</v>
      </c>
      <c r="CA142" s="32"/>
      <c r="CB142" s="32"/>
      <c r="CC142" s="32"/>
      <c r="CD142" s="32"/>
      <c r="CE142" s="32"/>
      <c r="CF142" s="32"/>
      <c r="CG142" s="32"/>
      <c r="CH142" s="32"/>
      <c r="CI142" s="32"/>
      <c r="CJ142" s="32"/>
      <c r="CK142" s="32"/>
      <c r="CL142" s="89" t="s">
        <v>335</v>
      </c>
      <c r="CM142" s="89" t="s">
        <v>335</v>
      </c>
      <c r="CN142" s="89" t="s">
        <v>335</v>
      </c>
      <c r="CO142" s="89" t="s">
        <v>335</v>
      </c>
      <c r="CP142" s="89" t="s">
        <v>335</v>
      </c>
      <c r="CQ142" s="89" t="s">
        <v>335</v>
      </c>
      <c r="CR142" s="89" t="s">
        <v>335</v>
      </c>
      <c r="CS142" s="89" t="s">
        <v>335</v>
      </c>
      <c r="CT142" s="89" t="s">
        <v>335</v>
      </c>
      <c r="CU142" s="89" t="s">
        <v>335</v>
      </c>
      <c r="CV142" s="89" t="s">
        <v>335</v>
      </c>
      <c r="CW142" s="89" t="s">
        <v>335</v>
      </c>
      <c r="CX142" s="89" t="s">
        <v>335</v>
      </c>
      <c r="CY142" s="89" t="s">
        <v>335</v>
      </c>
      <c r="CZ142" s="89" t="s">
        <v>335</v>
      </c>
      <c r="DA142" s="89" t="s">
        <v>335</v>
      </c>
      <c r="DB142" s="89" t="s">
        <v>335</v>
      </c>
      <c r="DC142" s="89" t="s">
        <v>335</v>
      </c>
      <c r="DD142" s="89" t="s">
        <v>335</v>
      </c>
      <c r="DE142" s="89" t="s">
        <v>335</v>
      </c>
      <c r="DF142" s="89" t="s">
        <v>335</v>
      </c>
      <c r="DG142" s="32" t="s">
        <v>335</v>
      </c>
      <c r="DH142" s="32"/>
      <c r="DI142" s="32"/>
      <c r="DJ142" s="35"/>
      <c r="DK142" s="35"/>
      <c r="DL142" s="35"/>
      <c r="DM142" s="35"/>
      <c r="DN142" s="35"/>
      <c r="DO142" s="35"/>
      <c r="DP142" s="35"/>
      <c r="DQ142" s="35"/>
      <c r="DR142" s="35"/>
      <c r="DS142" s="35"/>
      <c r="DT142" s="35"/>
    </row>
    <row r="143" spans="1:124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5"/>
      <c r="AB143" s="35"/>
      <c r="AC143" s="35"/>
      <c r="AD143" s="35"/>
      <c r="AE143" s="35"/>
      <c r="AF143" s="35"/>
      <c r="AG143" s="35"/>
      <c r="AH143" s="35"/>
      <c r="AI143" s="35"/>
      <c r="AJ143" s="35"/>
      <c r="AK143" s="35"/>
      <c r="AL143" s="35"/>
      <c r="AM143" s="35"/>
      <c r="AN143" s="35"/>
      <c r="AO143" s="35"/>
      <c r="AP143" s="35"/>
      <c r="AQ143" s="35"/>
      <c r="AR143" s="35"/>
      <c r="AS143" s="35"/>
      <c r="AT143" s="35"/>
      <c r="AU143" s="35"/>
      <c r="AV143" s="35"/>
      <c r="AW143" s="35"/>
      <c r="AX143" s="35"/>
      <c r="AY143" s="35"/>
      <c r="AZ143" s="35"/>
      <c r="BA143" s="35"/>
      <c r="BB143" s="35"/>
      <c r="BC143" s="35"/>
      <c r="BD143" s="35"/>
      <c r="BE143" s="35"/>
      <c r="BF143" s="35"/>
      <c r="BG143" s="35"/>
      <c r="BH143" s="35"/>
      <c r="BI143" s="35"/>
      <c r="BJ143" s="35"/>
      <c r="BK143" s="35"/>
      <c r="BL143" s="35"/>
      <c r="BM143" s="35"/>
      <c r="BN143" s="35"/>
      <c r="BO143" s="35"/>
      <c r="BP143" s="35"/>
      <c r="BQ143" s="35"/>
      <c r="BR143" s="35"/>
      <c r="BS143" s="35"/>
      <c r="BT143" s="35"/>
      <c r="BU143" s="35"/>
      <c r="BV143" s="35"/>
      <c r="BW143" s="35"/>
      <c r="BX143" s="35"/>
      <c r="BY143" s="35"/>
      <c r="BZ143" s="35"/>
      <c r="CA143" s="35"/>
      <c r="CB143" s="35"/>
      <c r="CC143" s="35"/>
      <c r="CD143" s="35"/>
      <c r="CE143" s="35"/>
      <c r="CF143" s="35"/>
      <c r="CG143" s="35"/>
      <c r="CH143" s="35"/>
      <c r="CI143" s="35"/>
      <c r="CJ143" s="35"/>
      <c r="CK143" s="35"/>
      <c r="CL143" s="35"/>
      <c r="CM143" s="35"/>
      <c r="CN143" s="35"/>
      <c r="CO143" s="35"/>
      <c r="CP143" s="35"/>
      <c r="CQ143" s="35"/>
      <c r="CR143" s="35"/>
      <c r="CS143" s="35"/>
      <c r="CT143" s="35"/>
      <c r="CU143" s="35"/>
      <c r="CV143" s="35"/>
      <c r="CW143" s="35"/>
      <c r="CX143" s="35"/>
      <c r="CY143" s="35"/>
      <c r="CZ143" s="35"/>
      <c r="DA143" s="35"/>
      <c r="DB143" s="35"/>
      <c r="DC143" s="35"/>
      <c r="DD143" s="35"/>
      <c r="DE143" s="35"/>
      <c r="DF143" s="35"/>
      <c r="DG143" s="35"/>
      <c r="DH143" s="35"/>
      <c r="DI143" s="35"/>
      <c r="DJ143" s="35"/>
      <c r="DK143" s="35"/>
      <c r="DL143" s="35"/>
      <c r="DM143" s="35"/>
      <c r="DN143" s="35"/>
      <c r="DO143" s="35"/>
      <c r="DP143" s="35"/>
      <c r="DQ143" s="35"/>
      <c r="DR143" s="35"/>
      <c r="DS143" s="35"/>
      <c r="DT143" s="35"/>
    </row>
    <row r="144" spans="1:124">
      <c r="A144" s="35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J144" s="35"/>
      <c r="AK144" s="35"/>
      <c r="AL144" s="35"/>
      <c r="AM144" s="35"/>
      <c r="AN144" s="35"/>
      <c r="AO144" s="35"/>
      <c r="AP144" s="35"/>
      <c r="AQ144" s="35"/>
      <c r="AR144" s="35"/>
      <c r="AS144" s="35"/>
      <c r="AT144" s="35"/>
      <c r="AU144" s="35"/>
      <c r="AV144" s="35"/>
      <c r="AW144" s="35"/>
      <c r="AX144" s="35"/>
      <c r="AY144" s="35"/>
      <c r="AZ144" s="35"/>
      <c r="BA144" s="35"/>
      <c r="BB144" s="35"/>
      <c r="BC144" s="35"/>
      <c r="BD144" s="35"/>
      <c r="BE144" s="35"/>
      <c r="BF144" s="35"/>
      <c r="BG144" s="35"/>
      <c r="BH144" s="35"/>
      <c r="BI144" s="35"/>
      <c r="BJ144" s="35"/>
      <c r="BK144" s="35"/>
      <c r="BL144" s="35"/>
      <c r="BM144" s="35"/>
      <c r="BN144" s="35"/>
      <c r="BO144" s="35"/>
      <c r="BP144" s="35"/>
      <c r="BQ144" s="35"/>
      <c r="BR144" s="35"/>
      <c r="BS144" s="35"/>
      <c r="BT144" s="35"/>
      <c r="BU144" s="35"/>
      <c r="BV144" s="35"/>
      <c r="BW144" s="35"/>
      <c r="BX144" s="35"/>
      <c r="BY144" s="35"/>
      <c r="BZ144" s="35"/>
      <c r="CA144" s="35"/>
      <c r="CB144" s="35"/>
      <c r="CC144" s="35"/>
      <c r="CD144" s="35"/>
      <c r="CE144" s="35"/>
      <c r="CF144" s="35"/>
      <c r="CG144" s="35"/>
      <c r="CH144" s="35"/>
      <c r="CI144" s="35"/>
      <c r="CJ144" s="35"/>
      <c r="CK144" s="35"/>
      <c r="CL144" s="35"/>
      <c r="CM144" s="35"/>
      <c r="CN144" s="35"/>
      <c r="CO144" s="35"/>
      <c r="CP144" s="35"/>
      <c r="CQ144" s="35"/>
      <c r="CR144" s="35"/>
      <c r="CS144" s="35"/>
      <c r="CT144" s="35"/>
      <c r="CU144" s="35"/>
      <c r="CV144" s="35"/>
      <c r="CW144" s="35"/>
      <c r="CX144" s="35"/>
      <c r="CY144" s="35"/>
      <c r="CZ144" s="35"/>
      <c r="DA144" s="35"/>
      <c r="DB144" s="35"/>
      <c r="DC144" s="35"/>
      <c r="DD144" s="35"/>
      <c r="DE144" s="35"/>
      <c r="DF144" s="35"/>
      <c r="DG144" s="35"/>
      <c r="DH144" s="35"/>
      <c r="DI144" s="35"/>
      <c r="DJ144" s="35"/>
      <c r="DK144" s="35"/>
      <c r="DL144" s="35"/>
      <c r="DM144" s="35"/>
      <c r="DN144" s="35"/>
      <c r="DO144" s="35"/>
      <c r="DP144" s="35"/>
      <c r="DQ144" s="35"/>
      <c r="DR144" s="35"/>
      <c r="DS144" s="35"/>
      <c r="DT144" s="35"/>
    </row>
    <row r="145" spans="1:124">
      <c r="A145" s="35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F145" s="35"/>
      <c r="AG145" s="35"/>
      <c r="AH145" s="35"/>
      <c r="AI145" s="35"/>
      <c r="AJ145" s="35"/>
      <c r="AK145" s="35"/>
      <c r="AL145" s="35"/>
      <c r="AM145" s="35"/>
      <c r="AN145" s="35"/>
      <c r="AO145" s="35"/>
      <c r="AP145" s="35"/>
      <c r="AQ145" s="35"/>
      <c r="AR145" s="35"/>
      <c r="AS145" s="35"/>
      <c r="AT145" s="35"/>
      <c r="AU145" s="35"/>
      <c r="AV145" s="35"/>
      <c r="AW145" s="35"/>
      <c r="AX145" s="35"/>
      <c r="AY145" s="35"/>
      <c r="AZ145" s="35"/>
      <c r="BA145" s="35"/>
      <c r="BB145" s="35"/>
      <c r="BC145" s="35"/>
      <c r="BD145" s="35"/>
      <c r="BE145" s="35"/>
      <c r="BF145" s="35"/>
      <c r="BG145" s="35"/>
      <c r="BH145" s="35"/>
      <c r="BI145" s="35"/>
      <c r="BJ145" s="35"/>
      <c r="BK145" s="35"/>
      <c r="BL145" s="35"/>
      <c r="BM145" s="35"/>
      <c r="BN145" s="35"/>
      <c r="BO145" s="35"/>
      <c r="BP145" s="35"/>
      <c r="BQ145" s="35"/>
      <c r="BR145" s="35"/>
      <c r="BS145" s="35"/>
      <c r="BT145" s="35"/>
      <c r="BU145" s="35"/>
      <c r="BV145" s="35"/>
      <c r="BW145" s="35"/>
      <c r="BX145" s="35"/>
      <c r="BY145" s="35"/>
      <c r="BZ145" s="35"/>
      <c r="CA145" s="35"/>
      <c r="CB145" s="35"/>
      <c r="CC145" s="35"/>
      <c r="CD145" s="35"/>
      <c r="CE145" s="35"/>
      <c r="CF145" s="35"/>
      <c r="CG145" s="35"/>
      <c r="CH145" s="35"/>
      <c r="CI145" s="35"/>
      <c r="CJ145" s="35"/>
      <c r="CK145" s="35"/>
      <c r="CL145" s="35"/>
      <c r="CM145" s="35"/>
      <c r="CN145" s="35"/>
      <c r="CO145" s="35"/>
      <c r="CP145" s="35"/>
      <c r="CQ145" s="35"/>
      <c r="CR145" s="35"/>
      <c r="CS145" s="35"/>
      <c r="CT145" s="35"/>
      <c r="CU145" s="35"/>
      <c r="CV145" s="35"/>
      <c r="CW145" s="35"/>
      <c r="CX145" s="35"/>
      <c r="CY145" s="35"/>
      <c r="CZ145" s="35"/>
      <c r="DA145" s="35"/>
      <c r="DB145" s="35"/>
      <c r="DC145" s="35"/>
      <c r="DD145" s="35"/>
      <c r="DE145" s="35"/>
      <c r="DF145" s="35"/>
      <c r="DG145" s="35"/>
      <c r="DH145" s="35"/>
      <c r="DI145" s="35"/>
      <c r="DJ145" s="35"/>
      <c r="DK145" s="35"/>
      <c r="DL145" s="35"/>
      <c r="DM145" s="35"/>
      <c r="DN145" s="35"/>
      <c r="DO145" s="35"/>
      <c r="DP145" s="35"/>
      <c r="DQ145" s="35"/>
      <c r="DR145" s="35"/>
      <c r="DS145" s="35"/>
      <c r="DT145" s="35"/>
    </row>
    <row r="146" spans="1:124">
      <c r="A146" s="35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5"/>
      <c r="AK146" s="35"/>
      <c r="AL146" s="35"/>
      <c r="AM146" s="35"/>
      <c r="AN146" s="35"/>
      <c r="AO146" s="35"/>
      <c r="AP146" s="35"/>
      <c r="AQ146" s="35"/>
      <c r="AR146" s="35"/>
      <c r="AS146" s="35"/>
      <c r="AT146" s="35"/>
      <c r="AU146" s="35"/>
      <c r="AV146" s="35"/>
      <c r="AW146" s="35"/>
      <c r="AX146" s="35"/>
      <c r="AY146" s="35"/>
      <c r="AZ146" s="35"/>
      <c r="BA146" s="35"/>
      <c r="BB146" s="35"/>
      <c r="BC146" s="35"/>
      <c r="BD146" s="35"/>
      <c r="BE146" s="35"/>
      <c r="BF146" s="35"/>
      <c r="BG146" s="35"/>
      <c r="BH146" s="35"/>
      <c r="BI146" s="35"/>
      <c r="BJ146" s="35"/>
      <c r="BK146" s="35"/>
      <c r="BL146" s="35"/>
      <c r="BM146" s="35"/>
      <c r="BN146" s="35"/>
      <c r="BO146" s="35"/>
      <c r="BP146" s="35"/>
      <c r="BQ146" s="35"/>
      <c r="BR146" s="35"/>
      <c r="BS146" s="35"/>
      <c r="BT146" s="35"/>
      <c r="BU146" s="35"/>
      <c r="BV146" s="35"/>
      <c r="BW146" s="35"/>
      <c r="BX146" s="35"/>
      <c r="BY146" s="35"/>
      <c r="BZ146" s="35"/>
      <c r="CA146" s="35"/>
      <c r="CB146" s="35"/>
      <c r="CC146" s="35"/>
      <c r="CD146" s="35"/>
      <c r="CE146" s="35"/>
      <c r="CF146" s="35"/>
      <c r="CG146" s="35"/>
      <c r="CH146" s="35"/>
      <c r="CI146" s="35"/>
      <c r="CJ146" s="35"/>
      <c r="CK146" s="35"/>
      <c r="CL146" s="35"/>
      <c r="CM146" s="35"/>
      <c r="CN146" s="35"/>
      <c r="CO146" s="35"/>
      <c r="CP146" s="35"/>
      <c r="CQ146" s="35"/>
      <c r="CR146" s="35"/>
      <c r="CS146" s="35"/>
      <c r="CT146" s="35"/>
      <c r="CU146" s="35"/>
      <c r="CV146" s="35"/>
      <c r="CW146" s="35"/>
      <c r="CX146" s="35"/>
      <c r="CY146" s="35"/>
      <c r="CZ146" s="35"/>
      <c r="DA146" s="35"/>
      <c r="DB146" s="35"/>
      <c r="DC146" s="35"/>
      <c r="DD146" s="35"/>
      <c r="DE146" s="35"/>
      <c r="DF146" s="35"/>
      <c r="DG146" s="35"/>
      <c r="DH146" s="35"/>
      <c r="DI146" s="35"/>
      <c r="DJ146" s="35"/>
      <c r="DK146" s="35"/>
      <c r="DL146" s="35"/>
      <c r="DM146" s="35"/>
      <c r="DN146" s="35"/>
      <c r="DO146" s="35"/>
      <c r="DP146" s="35"/>
      <c r="DQ146" s="35"/>
      <c r="DR146" s="35"/>
      <c r="DS146" s="35"/>
      <c r="DT146" s="35"/>
    </row>
    <row r="147" spans="1:124">
      <c r="A147" s="35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F147" s="35"/>
      <c r="AG147" s="35"/>
      <c r="AH147" s="35"/>
      <c r="AI147" s="35"/>
      <c r="AJ147" s="35"/>
      <c r="AK147" s="35"/>
      <c r="AL147" s="35"/>
      <c r="AM147" s="35"/>
      <c r="AN147" s="35"/>
      <c r="AO147" s="35"/>
      <c r="AP147" s="35"/>
      <c r="AQ147" s="35"/>
      <c r="AR147" s="35"/>
      <c r="AS147" s="35"/>
      <c r="AT147" s="35"/>
      <c r="AU147" s="35"/>
      <c r="AV147" s="35"/>
      <c r="AW147" s="35"/>
      <c r="AX147" s="35"/>
      <c r="AY147" s="35"/>
      <c r="AZ147" s="35"/>
      <c r="BA147" s="35"/>
      <c r="BB147" s="35"/>
      <c r="BC147" s="35"/>
      <c r="BD147" s="35"/>
      <c r="BE147" s="35"/>
      <c r="BF147" s="35"/>
      <c r="BG147" s="35"/>
      <c r="BH147" s="35"/>
      <c r="BI147" s="35"/>
      <c r="BJ147" s="35"/>
      <c r="BK147" s="35"/>
      <c r="BL147" s="35"/>
      <c r="BM147" s="35"/>
      <c r="BN147" s="35"/>
      <c r="BO147" s="35"/>
      <c r="BP147" s="35"/>
      <c r="BQ147" s="35"/>
      <c r="BR147" s="35"/>
      <c r="BS147" s="35"/>
      <c r="BT147" s="35"/>
      <c r="BU147" s="35"/>
      <c r="BV147" s="35"/>
      <c r="BW147" s="35"/>
      <c r="BX147" s="35"/>
      <c r="BY147" s="35"/>
      <c r="BZ147" s="35"/>
      <c r="CA147" s="35"/>
      <c r="CB147" s="35"/>
      <c r="CC147" s="35"/>
      <c r="CD147" s="35"/>
      <c r="CE147" s="35"/>
      <c r="CF147" s="35"/>
      <c r="CG147" s="35"/>
      <c r="CH147" s="35"/>
      <c r="CI147" s="35"/>
      <c r="CJ147" s="35"/>
      <c r="CK147" s="35"/>
      <c r="CL147" s="35"/>
      <c r="CM147" s="35"/>
      <c r="CN147" s="35"/>
      <c r="CO147" s="35"/>
      <c r="CP147" s="35"/>
      <c r="CQ147" s="35"/>
      <c r="CR147" s="35"/>
      <c r="CS147" s="35"/>
      <c r="CT147" s="35"/>
      <c r="CU147" s="35"/>
      <c r="CV147" s="35"/>
      <c r="CW147" s="35"/>
      <c r="CX147" s="35"/>
      <c r="CY147" s="35"/>
      <c r="CZ147" s="35"/>
      <c r="DA147" s="35"/>
      <c r="DB147" s="35"/>
      <c r="DC147" s="35"/>
      <c r="DD147" s="35"/>
      <c r="DE147" s="35"/>
      <c r="DF147" s="35"/>
      <c r="DG147" s="35"/>
      <c r="DH147" s="35"/>
      <c r="DI147" s="35"/>
      <c r="DJ147" s="35"/>
      <c r="DK147" s="35"/>
      <c r="DL147" s="35"/>
      <c r="DM147" s="35"/>
      <c r="DN147" s="35"/>
      <c r="DO147" s="35"/>
      <c r="DP147" s="35"/>
      <c r="DQ147" s="35"/>
      <c r="DR147" s="35"/>
      <c r="DS147" s="35"/>
      <c r="DT147" s="35"/>
    </row>
    <row r="148" spans="1:124">
      <c r="A148" s="35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F148" s="35"/>
      <c r="AG148" s="35"/>
      <c r="AH148" s="35"/>
      <c r="AI148" s="35"/>
      <c r="AJ148" s="35"/>
      <c r="AK148" s="35"/>
      <c r="AL148" s="35"/>
      <c r="AM148" s="35"/>
      <c r="AN148" s="35"/>
      <c r="AO148" s="35"/>
      <c r="AP148" s="35"/>
      <c r="AQ148" s="35"/>
      <c r="AR148" s="35"/>
      <c r="AS148" s="35"/>
      <c r="AT148" s="35"/>
      <c r="AU148" s="35"/>
      <c r="AV148" s="35"/>
      <c r="AW148" s="35"/>
      <c r="AX148" s="35"/>
      <c r="AY148" s="35"/>
      <c r="AZ148" s="35"/>
      <c r="BA148" s="35"/>
      <c r="BB148" s="35"/>
      <c r="BC148" s="35"/>
      <c r="BD148" s="35"/>
      <c r="BE148" s="35"/>
      <c r="BF148" s="35"/>
      <c r="BG148" s="35"/>
      <c r="BH148" s="35"/>
      <c r="BI148" s="35"/>
      <c r="BJ148" s="35"/>
      <c r="BK148" s="35"/>
      <c r="BL148" s="35"/>
      <c r="BM148" s="35"/>
      <c r="BN148" s="35"/>
      <c r="BO148" s="35"/>
      <c r="BP148" s="35"/>
      <c r="BQ148" s="35"/>
      <c r="BR148" s="35"/>
      <c r="BS148" s="35"/>
      <c r="BT148" s="35"/>
      <c r="BU148" s="35"/>
      <c r="BV148" s="35"/>
      <c r="BW148" s="35"/>
      <c r="BX148" s="35"/>
      <c r="BY148" s="35"/>
      <c r="BZ148" s="35"/>
      <c r="CA148" s="35"/>
      <c r="CB148" s="35"/>
      <c r="CC148" s="35"/>
      <c r="CD148" s="35"/>
      <c r="CE148" s="35"/>
      <c r="CF148" s="35"/>
      <c r="CG148" s="35"/>
      <c r="CH148" s="35"/>
      <c r="CI148" s="35"/>
      <c r="CJ148" s="35"/>
      <c r="CK148" s="35"/>
      <c r="CL148" s="35"/>
      <c r="CM148" s="35"/>
      <c r="CN148" s="35"/>
      <c r="CO148" s="35"/>
      <c r="CP148" s="35"/>
      <c r="CQ148" s="35"/>
      <c r="CR148" s="35"/>
      <c r="CS148" s="35"/>
      <c r="CT148" s="35"/>
      <c r="CU148" s="35"/>
      <c r="CV148" s="35"/>
      <c r="CW148" s="35"/>
      <c r="CX148" s="35"/>
      <c r="CY148" s="35"/>
      <c r="CZ148" s="35"/>
      <c r="DA148" s="35"/>
      <c r="DB148" s="35"/>
      <c r="DC148" s="35"/>
      <c r="DD148" s="35"/>
      <c r="DE148" s="35"/>
      <c r="DF148" s="35"/>
      <c r="DG148" s="35"/>
      <c r="DH148" s="35"/>
      <c r="DI148" s="35"/>
      <c r="DJ148" s="35"/>
      <c r="DK148" s="35"/>
      <c r="DL148" s="35"/>
      <c r="DM148" s="35"/>
      <c r="DN148" s="35"/>
      <c r="DO148" s="35"/>
      <c r="DP148" s="35"/>
      <c r="DQ148" s="35"/>
      <c r="DR148" s="35"/>
      <c r="DS148" s="35"/>
      <c r="DT148" s="35"/>
    </row>
    <row r="149" spans="1:124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  <c r="AJ149" s="35"/>
      <c r="AK149" s="35"/>
      <c r="AL149" s="35"/>
      <c r="AM149" s="35"/>
      <c r="AN149" s="35"/>
      <c r="AO149" s="35"/>
      <c r="AP149" s="35"/>
      <c r="AQ149" s="35"/>
      <c r="AR149" s="35"/>
      <c r="AS149" s="35"/>
      <c r="AT149" s="35"/>
      <c r="AU149" s="35"/>
      <c r="AV149" s="35"/>
      <c r="AW149" s="35"/>
      <c r="AX149" s="35"/>
      <c r="AY149" s="35"/>
      <c r="AZ149" s="35"/>
      <c r="BA149" s="35"/>
      <c r="BB149" s="35"/>
      <c r="BC149" s="35"/>
      <c r="BD149" s="35"/>
      <c r="BE149" s="35"/>
      <c r="BF149" s="35"/>
      <c r="BG149" s="35"/>
      <c r="BH149" s="35"/>
      <c r="BI149" s="35"/>
      <c r="BJ149" s="35"/>
      <c r="BK149" s="35"/>
      <c r="BL149" s="35"/>
      <c r="BM149" s="35"/>
      <c r="BN149" s="35"/>
      <c r="BO149" s="35"/>
      <c r="BP149" s="35"/>
      <c r="BQ149" s="35"/>
      <c r="BR149" s="35"/>
      <c r="BS149" s="35"/>
      <c r="BT149" s="35"/>
      <c r="BU149" s="35"/>
      <c r="BV149" s="35"/>
      <c r="BW149" s="35"/>
      <c r="BX149" s="35"/>
      <c r="BY149" s="35"/>
      <c r="BZ149" s="35"/>
      <c r="CA149" s="35"/>
      <c r="CB149" s="35"/>
      <c r="CC149" s="35"/>
      <c r="CD149" s="35"/>
      <c r="CE149" s="35"/>
      <c r="CF149" s="35"/>
      <c r="CG149" s="35"/>
      <c r="CH149" s="35"/>
      <c r="CI149" s="35"/>
      <c r="CJ149" s="35"/>
      <c r="CK149" s="35"/>
      <c r="CL149" s="35"/>
      <c r="CM149" s="35"/>
      <c r="CN149" s="35"/>
      <c r="CO149" s="35"/>
      <c r="CP149" s="35"/>
      <c r="CQ149" s="35"/>
      <c r="CR149" s="35"/>
      <c r="CS149" s="35"/>
      <c r="CT149" s="35"/>
      <c r="CU149" s="35"/>
      <c r="CV149" s="35"/>
      <c r="CW149" s="35"/>
      <c r="CX149" s="35"/>
      <c r="CY149" s="35"/>
      <c r="CZ149" s="35"/>
      <c r="DA149" s="35"/>
      <c r="DB149" s="35"/>
      <c r="DC149" s="35"/>
      <c r="DD149" s="35"/>
      <c r="DE149" s="35"/>
      <c r="DF149" s="35"/>
      <c r="DG149" s="35"/>
      <c r="DH149" s="35"/>
      <c r="DI149" s="35"/>
      <c r="DJ149" s="35"/>
      <c r="DK149" s="35"/>
      <c r="DL149" s="35"/>
      <c r="DM149" s="35"/>
      <c r="DN149" s="35"/>
      <c r="DO149" s="35"/>
      <c r="DP149" s="35"/>
      <c r="DQ149" s="35"/>
      <c r="DR149" s="35"/>
      <c r="DS149" s="35"/>
      <c r="DT149" s="35"/>
    </row>
    <row r="150" spans="1:124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F150" s="35"/>
      <c r="AG150" s="35"/>
      <c r="AH150" s="35"/>
      <c r="AI150" s="35"/>
      <c r="AJ150" s="35"/>
      <c r="AK150" s="35"/>
      <c r="AL150" s="35"/>
      <c r="AM150" s="35"/>
      <c r="AN150" s="35"/>
      <c r="AO150" s="35"/>
      <c r="AP150" s="35"/>
      <c r="AQ150" s="35"/>
      <c r="AR150" s="35"/>
      <c r="AS150" s="35"/>
      <c r="AT150" s="35"/>
      <c r="AU150" s="35"/>
      <c r="AV150" s="35"/>
      <c r="AW150" s="35"/>
      <c r="AX150" s="35"/>
      <c r="AY150" s="35"/>
      <c r="AZ150" s="35"/>
      <c r="BA150" s="35"/>
      <c r="BB150" s="35"/>
      <c r="BC150" s="35"/>
      <c r="BD150" s="35"/>
      <c r="BE150" s="35"/>
      <c r="BF150" s="35"/>
      <c r="BG150" s="35"/>
      <c r="BH150" s="35"/>
      <c r="BI150" s="35"/>
      <c r="BJ150" s="35"/>
      <c r="BK150" s="35"/>
      <c r="BL150" s="35"/>
      <c r="BM150" s="35"/>
      <c r="BN150" s="35"/>
      <c r="BO150" s="35"/>
      <c r="BP150" s="35"/>
      <c r="BQ150" s="35"/>
      <c r="BR150" s="35"/>
      <c r="BS150" s="35"/>
      <c r="BT150" s="35"/>
      <c r="BU150" s="35"/>
      <c r="BV150" s="35"/>
      <c r="BW150" s="35"/>
      <c r="BX150" s="35"/>
      <c r="BY150" s="35"/>
      <c r="BZ150" s="35"/>
      <c r="CA150" s="35"/>
      <c r="CB150" s="35"/>
      <c r="CC150" s="35"/>
      <c r="CD150" s="35"/>
      <c r="CE150" s="35"/>
      <c r="CF150" s="35"/>
      <c r="CG150" s="35"/>
      <c r="CH150" s="35"/>
      <c r="CI150" s="35"/>
      <c r="CJ150" s="35"/>
      <c r="CK150" s="35"/>
      <c r="CL150" s="35"/>
      <c r="CM150" s="35"/>
      <c r="CN150" s="35"/>
      <c r="CO150" s="35"/>
      <c r="CP150" s="35"/>
      <c r="CQ150" s="35"/>
      <c r="CR150" s="35"/>
      <c r="CS150" s="35"/>
      <c r="CT150" s="35"/>
      <c r="CU150" s="35"/>
      <c r="CV150" s="35"/>
      <c r="CW150" s="35"/>
      <c r="CX150" s="35"/>
      <c r="CY150" s="35"/>
      <c r="CZ150" s="35"/>
      <c r="DA150" s="35"/>
      <c r="DB150" s="35"/>
      <c r="DC150" s="35"/>
      <c r="DD150" s="35"/>
      <c r="DE150" s="35"/>
      <c r="DF150" s="35"/>
      <c r="DG150" s="35"/>
      <c r="DH150" s="35"/>
      <c r="DI150" s="35"/>
      <c r="DJ150" s="35"/>
      <c r="DK150" s="35"/>
      <c r="DL150" s="35"/>
      <c r="DM150" s="35"/>
      <c r="DN150" s="35"/>
      <c r="DO150" s="35"/>
      <c r="DP150" s="35"/>
      <c r="DQ150" s="35"/>
      <c r="DR150" s="35"/>
      <c r="DS150" s="35"/>
      <c r="DT150" s="35"/>
    </row>
    <row r="151" spans="1:124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F151" s="35"/>
      <c r="AG151" s="35"/>
      <c r="AH151" s="35"/>
      <c r="AI151" s="35"/>
      <c r="AJ151" s="35"/>
      <c r="AK151" s="35"/>
      <c r="AL151" s="35"/>
      <c r="AM151" s="35"/>
      <c r="AN151" s="35"/>
      <c r="AO151" s="35"/>
      <c r="AP151" s="35"/>
      <c r="AQ151" s="35"/>
      <c r="AR151" s="35"/>
      <c r="AS151" s="35"/>
      <c r="AT151" s="35"/>
      <c r="AU151" s="35"/>
      <c r="AV151" s="35"/>
      <c r="AW151" s="35"/>
      <c r="AX151" s="35"/>
      <c r="AY151" s="35"/>
      <c r="AZ151" s="35"/>
      <c r="BA151" s="35"/>
      <c r="BB151" s="35"/>
      <c r="BC151" s="35"/>
      <c r="BD151" s="35"/>
      <c r="BE151" s="35"/>
      <c r="BF151" s="35"/>
      <c r="BG151" s="35"/>
      <c r="BH151" s="35"/>
      <c r="BI151" s="35"/>
      <c r="BJ151" s="35"/>
      <c r="BK151" s="35"/>
      <c r="BL151" s="35"/>
      <c r="BM151" s="35"/>
      <c r="BN151" s="35"/>
      <c r="BO151" s="35"/>
      <c r="BP151" s="35"/>
      <c r="BQ151" s="35"/>
      <c r="BR151" s="35"/>
      <c r="BS151" s="35"/>
      <c r="BT151" s="35"/>
      <c r="BU151" s="35"/>
      <c r="BV151" s="35"/>
      <c r="BW151" s="35"/>
      <c r="BX151" s="35"/>
      <c r="BY151" s="35"/>
      <c r="BZ151" s="35"/>
      <c r="CA151" s="35"/>
      <c r="CB151" s="35"/>
      <c r="CC151" s="35"/>
      <c r="CD151" s="35"/>
      <c r="CE151" s="35"/>
      <c r="CF151" s="35"/>
      <c r="CG151" s="35"/>
      <c r="CH151" s="35"/>
      <c r="CI151" s="35"/>
      <c r="CJ151" s="35"/>
      <c r="CK151" s="35"/>
      <c r="CL151" s="35"/>
      <c r="CM151" s="35"/>
      <c r="CN151" s="35"/>
      <c r="CO151" s="35"/>
      <c r="CP151" s="35"/>
      <c r="CQ151" s="35"/>
      <c r="CR151" s="35"/>
      <c r="CS151" s="35"/>
      <c r="CT151" s="35"/>
      <c r="CU151" s="35"/>
      <c r="CV151" s="35"/>
      <c r="CW151" s="35"/>
      <c r="CX151" s="35"/>
      <c r="CY151" s="35"/>
      <c r="CZ151" s="35"/>
      <c r="DA151" s="35"/>
      <c r="DB151" s="35"/>
      <c r="DC151" s="35"/>
      <c r="DD151" s="35"/>
      <c r="DE151" s="35"/>
      <c r="DF151" s="35"/>
      <c r="DG151" s="35"/>
      <c r="DH151" s="35"/>
      <c r="DI151" s="35"/>
      <c r="DJ151" s="35"/>
      <c r="DK151" s="35"/>
      <c r="DL151" s="35"/>
      <c r="DM151" s="35"/>
      <c r="DN151" s="35"/>
      <c r="DO151" s="35"/>
      <c r="DP151" s="35"/>
      <c r="DQ151" s="35"/>
      <c r="DR151" s="35"/>
      <c r="DS151" s="35"/>
      <c r="DT151" s="35"/>
    </row>
    <row r="152" spans="1:124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35"/>
      <c r="AN152" s="35"/>
      <c r="AO152" s="35"/>
      <c r="AP152" s="35"/>
      <c r="AQ152" s="35"/>
      <c r="AR152" s="35"/>
      <c r="AS152" s="35"/>
      <c r="AT152" s="35"/>
      <c r="AU152" s="35"/>
      <c r="AV152" s="35"/>
      <c r="AW152" s="35"/>
      <c r="AX152" s="35"/>
      <c r="AY152" s="35"/>
      <c r="AZ152" s="35"/>
      <c r="BA152" s="35"/>
      <c r="BB152" s="35"/>
      <c r="BC152" s="35"/>
      <c r="BD152" s="35"/>
      <c r="BE152" s="35"/>
      <c r="BF152" s="35"/>
      <c r="BG152" s="35"/>
      <c r="BH152" s="35"/>
      <c r="BI152" s="35"/>
      <c r="BJ152" s="35"/>
      <c r="BK152" s="35"/>
      <c r="BL152" s="35"/>
      <c r="BM152" s="35"/>
      <c r="BN152" s="35"/>
      <c r="BO152" s="35"/>
      <c r="BP152" s="35"/>
      <c r="BQ152" s="35"/>
      <c r="BR152" s="35"/>
      <c r="BS152" s="35"/>
      <c r="BT152" s="35"/>
      <c r="BU152" s="35"/>
      <c r="BV152" s="35"/>
      <c r="BW152" s="35"/>
      <c r="BX152" s="35"/>
      <c r="BY152" s="35"/>
      <c r="BZ152" s="35"/>
      <c r="CA152" s="35"/>
      <c r="CB152" s="35"/>
      <c r="CC152" s="35"/>
      <c r="CD152" s="35"/>
      <c r="CE152" s="35"/>
      <c r="CF152" s="35"/>
      <c r="CG152" s="35"/>
      <c r="CH152" s="35"/>
      <c r="CI152" s="35"/>
      <c r="CJ152" s="35"/>
      <c r="CK152" s="35"/>
      <c r="CL152" s="35"/>
      <c r="CM152" s="35"/>
      <c r="CN152" s="35"/>
      <c r="CO152" s="35"/>
      <c r="CP152" s="35"/>
      <c r="CQ152" s="35"/>
      <c r="CR152" s="35"/>
      <c r="CS152" s="35"/>
      <c r="CT152" s="35"/>
      <c r="CU152" s="35"/>
      <c r="CV152" s="35"/>
      <c r="CW152" s="35"/>
      <c r="CX152" s="35"/>
      <c r="CY152" s="35"/>
      <c r="CZ152" s="35"/>
      <c r="DA152" s="35"/>
      <c r="DB152" s="35"/>
      <c r="DC152" s="35"/>
      <c r="DD152" s="35"/>
      <c r="DE152" s="35"/>
      <c r="DF152" s="35"/>
      <c r="DG152" s="35"/>
      <c r="DH152" s="35"/>
      <c r="DI152" s="35"/>
      <c r="DJ152" s="35"/>
      <c r="DK152" s="35"/>
      <c r="DL152" s="35"/>
      <c r="DM152" s="35"/>
      <c r="DN152" s="35"/>
      <c r="DO152" s="35"/>
      <c r="DP152" s="35"/>
      <c r="DQ152" s="35"/>
      <c r="DR152" s="35"/>
      <c r="DS152" s="35"/>
      <c r="DT152" s="35"/>
    </row>
    <row r="153" spans="1:124">
      <c r="A153" s="35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F153" s="35"/>
      <c r="AG153" s="35"/>
      <c r="AH153" s="35"/>
      <c r="AI153" s="35"/>
      <c r="AJ153" s="35"/>
      <c r="AK153" s="35"/>
      <c r="AL153" s="35"/>
      <c r="AM153" s="35"/>
      <c r="AN153" s="35"/>
      <c r="AO153" s="35"/>
      <c r="AP153" s="35"/>
      <c r="AQ153" s="35"/>
      <c r="AR153" s="35"/>
      <c r="AS153" s="35"/>
      <c r="AT153" s="35"/>
      <c r="AU153" s="35"/>
      <c r="AV153" s="35"/>
      <c r="AW153" s="35"/>
      <c r="AX153" s="35"/>
      <c r="AY153" s="35"/>
      <c r="AZ153" s="35"/>
      <c r="BA153" s="35"/>
      <c r="BB153" s="35"/>
      <c r="BC153" s="35"/>
      <c r="BD153" s="35"/>
      <c r="BE153" s="35"/>
      <c r="BF153" s="35"/>
      <c r="BG153" s="35"/>
      <c r="BH153" s="35"/>
      <c r="BI153" s="35"/>
      <c r="BJ153" s="35"/>
      <c r="BK153" s="35"/>
      <c r="BL153" s="35"/>
      <c r="BM153" s="35"/>
      <c r="BN153" s="35"/>
      <c r="BO153" s="35"/>
      <c r="BP153" s="35"/>
      <c r="BQ153" s="35"/>
      <c r="BR153" s="35"/>
      <c r="BS153" s="35"/>
      <c r="BT153" s="35"/>
      <c r="BU153" s="35"/>
      <c r="BV153" s="35"/>
      <c r="BW153" s="35"/>
      <c r="BX153" s="35"/>
      <c r="BY153" s="35"/>
      <c r="BZ153" s="35"/>
      <c r="CA153" s="35"/>
      <c r="CB153" s="35"/>
      <c r="CC153" s="35"/>
      <c r="CD153" s="35"/>
      <c r="CE153" s="35"/>
      <c r="CF153" s="35"/>
      <c r="CG153" s="35"/>
      <c r="CH153" s="35"/>
      <c r="CI153" s="35"/>
      <c r="CJ153" s="35"/>
      <c r="CK153" s="35"/>
      <c r="CL153" s="35"/>
      <c r="CM153" s="35"/>
      <c r="CN153" s="35"/>
      <c r="CO153" s="35"/>
      <c r="CP153" s="35"/>
      <c r="CQ153" s="35"/>
      <c r="CR153" s="35"/>
      <c r="CS153" s="35"/>
      <c r="CT153" s="35"/>
      <c r="CU153" s="35"/>
      <c r="CV153" s="35"/>
      <c r="CW153" s="35"/>
      <c r="CX153" s="35"/>
      <c r="CY153" s="35"/>
      <c r="CZ153" s="35"/>
      <c r="DA153" s="35"/>
      <c r="DB153" s="35"/>
      <c r="DC153" s="35"/>
      <c r="DD153" s="35"/>
      <c r="DE153" s="35"/>
      <c r="DF153" s="35"/>
      <c r="DG153" s="35"/>
      <c r="DH153" s="35"/>
      <c r="DI153" s="35"/>
      <c r="DJ153" s="35"/>
      <c r="DK153" s="35"/>
      <c r="DL153" s="35"/>
      <c r="DM153" s="35"/>
      <c r="DN153" s="35"/>
      <c r="DO153" s="35"/>
      <c r="DP153" s="35"/>
      <c r="DQ153" s="35"/>
      <c r="DR153" s="35"/>
      <c r="DS153" s="35"/>
      <c r="DT153" s="35"/>
    </row>
    <row r="154" spans="1:124">
      <c r="A154" s="35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F154" s="35"/>
      <c r="AG154" s="35"/>
      <c r="AH154" s="35"/>
      <c r="AI154" s="35"/>
      <c r="AJ154" s="35"/>
      <c r="AK154" s="35"/>
      <c r="AL154" s="35"/>
      <c r="AM154" s="35"/>
      <c r="AN154" s="35"/>
      <c r="AO154" s="35"/>
      <c r="AP154" s="35"/>
      <c r="AQ154" s="35"/>
      <c r="AR154" s="35"/>
      <c r="AS154" s="35"/>
      <c r="AT154" s="35"/>
      <c r="AU154" s="35"/>
      <c r="AV154" s="35"/>
      <c r="AW154" s="35"/>
      <c r="AX154" s="35"/>
      <c r="AY154" s="35"/>
      <c r="AZ154" s="35"/>
      <c r="BA154" s="35"/>
      <c r="BB154" s="35"/>
      <c r="BC154" s="35"/>
      <c r="BD154" s="35"/>
      <c r="BE154" s="35"/>
      <c r="BF154" s="35"/>
      <c r="BG154" s="35"/>
      <c r="BH154" s="35"/>
      <c r="BI154" s="35"/>
      <c r="BJ154" s="35"/>
      <c r="BK154" s="35"/>
      <c r="BL154" s="35"/>
      <c r="BM154" s="35"/>
      <c r="BN154" s="35"/>
      <c r="BO154" s="35"/>
      <c r="BP154" s="35"/>
      <c r="BQ154" s="35"/>
      <c r="BR154" s="35"/>
      <c r="BS154" s="35"/>
      <c r="BT154" s="35"/>
      <c r="BU154" s="35"/>
      <c r="BV154" s="35"/>
      <c r="BW154" s="35"/>
      <c r="BX154" s="35"/>
      <c r="BY154" s="35"/>
      <c r="BZ154" s="35"/>
      <c r="CA154" s="35"/>
      <c r="CB154" s="35"/>
      <c r="CC154" s="35"/>
      <c r="CD154" s="35"/>
      <c r="CE154" s="35"/>
      <c r="CF154" s="35"/>
      <c r="CG154" s="35"/>
      <c r="CH154" s="35"/>
      <c r="CI154" s="35"/>
      <c r="CJ154" s="35"/>
      <c r="CK154" s="35"/>
      <c r="CL154" s="35"/>
      <c r="CM154" s="35"/>
      <c r="CN154" s="35"/>
      <c r="CO154" s="35"/>
      <c r="CP154" s="35"/>
      <c r="CQ154" s="35"/>
      <c r="CR154" s="35"/>
      <c r="CS154" s="35"/>
      <c r="CT154" s="35"/>
      <c r="CU154" s="35"/>
      <c r="CV154" s="35"/>
      <c r="CW154" s="35"/>
      <c r="CX154" s="35"/>
      <c r="CY154" s="35"/>
      <c r="CZ154" s="35"/>
      <c r="DA154" s="35"/>
      <c r="DB154" s="35"/>
      <c r="DC154" s="35"/>
      <c r="DD154" s="35"/>
      <c r="DE154" s="35"/>
      <c r="DF154" s="35"/>
      <c r="DG154" s="35"/>
      <c r="DH154" s="35"/>
      <c r="DI154" s="35"/>
      <c r="DJ154" s="35"/>
      <c r="DK154" s="35"/>
      <c r="DL154" s="35"/>
      <c r="DM154" s="35"/>
      <c r="DN154" s="35"/>
      <c r="DO154" s="35"/>
      <c r="DP154" s="35"/>
      <c r="DQ154" s="35"/>
      <c r="DR154" s="35"/>
      <c r="DS154" s="35"/>
      <c r="DT154" s="35"/>
    </row>
    <row r="155" spans="1:124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F155" s="35"/>
      <c r="AG155" s="35"/>
      <c r="AH155" s="35"/>
      <c r="AI155" s="35"/>
      <c r="AJ155" s="35"/>
      <c r="AK155" s="35"/>
      <c r="AL155" s="35"/>
      <c r="AM155" s="35"/>
      <c r="AN155" s="35"/>
      <c r="AO155" s="35"/>
      <c r="AP155" s="35"/>
      <c r="AQ155" s="35"/>
      <c r="AR155" s="35"/>
      <c r="AS155" s="35"/>
      <c r="AT155" s="35"/>
      <c r="AU155" s="35"/>
      <c r="AV155" s="35"/>
      <c r="AW155" s="35"/>
      <c r="AX155" s="35"/>
      <c r="AY155" s="35"/>
      <c r="AZ155" s="35"/>
      <c r="BA155" s="35"/>
      <c r="BB155" s="35"/>
      <c r="BC155" s="35"/>
      <c r="BD155" s="35"/>
      <c r="BE155" s="35"/>
      <c r="BF155" s="35"/>
      <c r="BG155" s="35"/>
      <c r="BH155" s="35"/>
      <c r="BI155" s="35"/>
      <c r="BJ155" s="35"/>
      <c r="BK155" s="35"/>
      <c r="BL155" s="35"/>
      <c r="BM155" s="35"/>
      <c r="BN155" s="35"/>
      <c r="BO155" s="35"/>
      <c r="BP155" s="35"/>
      <c r="BQ155" s="35"/>
      <c r="BR155" s="35"/>
      <c r="BS155" s="35"/>
      <c r="BT155" s="35"/>
      <c r="BU155" s="35"/>
      <c r="BV155" s="35"/>
      <c r="BW155" s="35"/>
      <c r="BX155" s="35"/>
      <c r="BY155" s="35"/>
      <c r="BZ155" s="35"/>
      <c r="CA155" s="35"/>
      <c r="CB155" s="35"/>
      <c r="CC155" s="35"/>
      <c r="CD155" s="35"/>
      <c r="CE155" s="35"/>
      <c r="CF155" s="35"/>
      <c r="CG155" s="35"/>
      <c r="CH155" s="35"/>
      <c r="CI155" s="35"/>
      <c r="CJ155" s="35"/>
      <c r="CK155" s="35"/>
      <c r="CL155" s="35"/>
      <c r="CM155" s="35"/>
      <c r="CN155" s="35"/>
      <c r="CO155" s="35"/>
      <c r="CP155" s="35"/>
      <c r="CQ155" s="35"/>
      <c r="CR155" s="35"/>
      <c r="CS155" s="35"/>
      <c r="CT155" s="35"/>
      <c r="CU155" s="35"/>
      <c r="CV155" s="35"/>
      <c r="CW155" s="35"/>
      <c r="CX155" s="35"/>
      <c r="CY155" s="35"/>
      <c r="CZ155" s="35"/>
      <c r="DA155" s="35"/>
      <c r="DB155" s="35"/>
      <c r="DC155" s="35"/>
      <c r="DD155" s="35"/>
      <c r="DE155" s="35"/>
      <c r="DF155" s="35"/>
      <c r="DG155" s="35"/>
      <c r="DH155" s="35"/>
      <c r="DI155" s="35"/>
      <c r="DJ155" s="35"/>
      <c r="DK155" s="35"/>
      <c r="DL155" s="35"/>
      <c r="DM155" s="35"/>
      <c r="DN155" s="35"/>
      <c r="DO155" s="35"/>
      <c r="DP155" s="35"/>
      <c r="DQ155" s="35"/>
      <c r="DR155" s="35"/>
      <c r="DS155" s="35"/>
      <c r="DT155" s="35"/>
    </row>
    <row r="156" spans="1:124">
      <c r="A156" s="35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  <c r="AJ156" s="35"/>
      <c r="AK156" s="35"/>
      <c r="AL156" s="35"/>
      <c r="AM156" s="35"/>
      <c r="AN156" s="35"/>
      <c r="AO156" s="35"/>
      <c r="AP156" s="35"/>
      <c r="AQ156" s="35"/>
      <c r="AR156" s="35"/>
      <c r="AS156" s="35"/>
      <c r="AT156" s="35"/>
      <c r="AU156" s="35"/>
      <c r="AV156" s="35"/>
      <c r="AW156" s="35"/>
      <c r="AX156" s="35"/>
      <c r="AY156" s="35"/>
      <c r="AZ156" s="35"/>
      <c r="BA156" s="35"/>
      <c r="BB156" s="35"/>
      <c r="BC156" s="35"/>
      <c r="BD156" s="35"/>
      <c r="BE156" s="35"/>
      <c r="BF156" s="35"/>
      <c r="BG156" s="35"/>
      <c r="BH156" s="35"/>
      <c r="BI156" s="35"/>
      <c r="BJ156" s="35"/>
      <c r="BK156" s="35"/>
      <c r="BL156" s="35"/>
      <c r="BM156" s="35"/>
      <c r="BN156" s="35"/>
      <c r="BO156" s="35"/>
      <c r="BP156" s="35"/>
      <c r="BQ156" s="35"/>
      <c r="BR156" s="35"/>
      <c r="BS156" s="35"/>
      <c r="BT156" s="35"/>
      <c r="BU156" s="35"/>
      <c r="BV156" s="35"/>
      <c r="BW156" s="35"/>
      <c r="BX156" s="35"/>
      <c r="BY156" s="35"/>
      <c r="BZ156" s="35"/>
      <c r="CA156" s="35"/>
      <c r="CB156" s="35"/>
      <c r="CC156" s="35"/>
      <c r="CD156" s="35"/>
      <c r="CE156" s="35"/>
      <c r="CF156" s="35"/>
      <c r="CG156" s="35"/>
      <c r="CH156" s="35"/>
      <c r="CI156" s="35"/>
      <c r="CJ156" s="35"/>
      <c r="CK156" s="35"/>
      <c r="CL156" s="35"/>
      <c r="CM156" s="35"/>
      <c r="CN156" s="35"/>
      <c r="CO156" s="35"/>
      <c r="CP156" s="35"/>
      <c r="CQ156" s="35"/>
      <c r="CR156" s="35"/>
      <c r="CS156" s="35"/>
      <c r="CT156" s="35"/>
      <c r="CU156" s="35"/>
      <c r="CV156" s="35"/>
      <c r="CW156" s="35"/>
      <c r="CX156" s="35"/>
      <c r="CY156" s="35"/>
      <c r="CZ156" s="35"/>
      <c r="DA156" s="35"/>
      <c r="DB156" s="35"/>
      <c r="DC156" s="35"/>
      <c r="DD156" s="35"/>
      <c r="DE156" s="35"/>
      <c r="DF156" s="35"/>
      <c r="DG156" s="35"/>
      <c r="DH156" s="35"/>
      <c r="DI156" s="35"/>
      <c r="DJ156" s="35"/>
      <c r="DK156" s="35"/>
      <c r="DL156" s="35"/>
      <c r="DM156" s="35"/>
      <c r="DN156" s="35"/>
      <c r="DO156" s="35"/>
      <c r="DP156" s="35"/>
      <c r="DQ156" s="35"/>
      <c r="DR156" s="35"/>
      <c r="DS156" s="35"/>
      <c r="DT156" s="35"/>
    </row>
    <row r="157" spans="1:124">
      <c r="A157" s="35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F157" s="35"/>
      <c r="AG157" s="35"/>
      <c r="AH157" s="35"/>
      <c r="AI157" s="35"/>
      <c r="AJ157" s="35"/>
      <c r="AK157" s="35"/>
      <c r="AL157" s="35"/>
      <c r="AM157" s="35"/>
      <c r="AN157" s="35"/>
      <c r="AO157" s="35"/>
      <c r="AP157" s="35"/>
      <c r="AQ157" s="35"/>
      <c r="AR157" s="35"/>
      <c r="AS157" s="35"/>
      <c r="AT157" s="35"/>
      <c r="AU157" s="35"/>
      <c r="AV157" s="35"/>
      <c r="AW157" s="35"/>
      <c r="AX157" s="35"/>
      <c r="AY157" s="35"/>
      <c r="AZ157" s="35"/>
      <c r="BA157" s="35"/>
      <c r="BB157" s="35"/>
      <c r="BC157" s="35"/>
      <c r="BD157" s="35"/>
      <c r="BE157" s="35"/>
      <c r="BF157" s="35"/>
      <c r="BG157" s="35"/>
      <c r="BH157" s="35"/>
      <c r="BI157" s="35"/>
      <c r="BJ157" s="35"/>
      <c r="BK157" s="35"/>
      <c r="BL157" s="35"/>
      <c r="BM157" s="35"/>
      <c r="BN157" s="35"/>
      <c r="BO157" s="35"/>
      <c r="BP157" s="35"/>
      <c r="BQ157" s="35"/>
      <c r="BR157" s="35"/>
      <c r="BS157" s="35"/>
      <c r="BT157" s="35"/>
      <c r="BU157" s="35"/>
      <c r="BV157" s="35"/>
      <c r="BW157" s="35"/>
      <c r="BX157" s="35"/>
      <c r="BY157" s="35"/>
      <c r="BZ157" s="35"/>
      <c r="CA157" s="35"/>
      <c r="CB157" s="35"/>
      <c r="CC157" s="35"/>
      <c r="CD157" s="35"/>
      <c r="CE157" s="35"/>
      <c r="CF157" s="35"/>
      <c r="CG157" s="35"/>
      <c r="CH157" s="35"/>
      <c r="CI157" s="35"/>
      <c r="CJ157" s="35"/>
      <c r="CK157" s="35"/>
      <c r="CL157" s="35"/>
      <c r="CM157" s="35"/>
      <c r="CN157" s="35"/>
      <c r="CO157" s="35"/>
      <c r="CP157" s="35"/>
      <c r="CQ157" s="35"/>
      <c r="CR157" s="35"/>
      <c r="CS157" s="35"/>
      <c r="CT157" s="35"/>
      <c r="CU157" s="35"/>
      <c r="CV157" s="35"/>
      <c r="CW157" s="35"/>
      <c r="CX157" s="35"/>
      <c r="CY157" s="35"/>
      <c r="CZ157" s="35"/>
      <c r="DA157" s="35"/>
      <c r="DB157" s="35"/>
      <c r="DC157" s="35"/>
      <c r="DD157" s="35"/>
      <c r="DE157" s="35"/>
      <c r="DF157" s="35"/>
      <c r="DG157" s="35"/>
      <c r="DH157" s="35"/>
      <c r="DI157" s="35"/>
      <c r="DJ157" s="35"/>
      <c r="DK157" s="35"/>
      <c r="DL157" s="35"/>
      <c r="DM157" s="35"/>
      <c r="DN157" s="35"/>
      <c r="DO157" s="35"/>
      <c r="DP157" s="35"/>
      <c r="DQ157" s="35"/>
      <c r="DR157" s="35"/>
      <c r="DS157" s="35"/>
      <c r="DT157" s="35"/>
    </row>
    <row r="158" spans="1:124">
      <c r="A158" s="35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F158" s="35"/>
      <c r="AG158" s="35"/>
      <c r="AH158" s="35"/>
      <c r="AI158" s="35"/>
      <c r="AJ158" s="35"/>
      <c r="AK158" s="35"/>
      <c r="AL158" s="35"/>
      <c r="AM158" s="35"/>
      <c r="AN158" s="35"/>
      <c r="AO158" s="35"/>
      <c r="AP158" s="35"/>
      <c r="AQ158" s="35"/>
      <c r="AR158" s="35"/>
      <c r="AS158" s="35"/>
      <c r="AT158" s="35"/>
      <c r="AU158" s="35"/>
      <c r="AV158" s="35"/>
      <c r="AW158" s="35"/>
      <c r="AX158" s="35"/>
      <c r="AY158" s="35"/>
      <c r="AZ158" s="35"/>
      <c r="BA158" s="35"/>
      <c r="BB158" s="35"/>
      <c r="BC158" s="35"/>
      <c r="BD158" s="35"/>
      <c r="BE158" s="35"/>
      <c r="BF158" s="35"/>
      <c r="BG158" s="35"/>
      <c r="BH158" s="35"/>
      <c r="BI158" s="35"/>
      <c r="BJ158" s="35"/>
      <c r="BK158" s="35"/>
      <c r="BL158" s="35"/>
      <c r="BM158" s="35"/>
      <c r="BN158" s="35"/>
      <c r="BO158" s="35"/>
      <c r="BP158" s="35"/>
      <c r="BQ158" s="35"/>
      <c r="BR158" s="35"/>
      <c r="BS158" s="35"/>
      <c r="BT158" s="35"/>
      <c r="BU158" s="35"/>
      <c r="BV158" s="35"/>
      <c r="BW158" s="35"/>
      <c r="BX158" s="35"/>
      <c r="BY158" s="35"/>
      <c r="BZ158" s="35"/>
      <c r="CA158" s="35"/>
      <c r="CB158" s="35"/>
      <c r="CC158" s="35"/>
      <c r="CD158" s="35"/>
      <c r="CE158" s="35"/>
      <c r="CF158" s="35"/>
      <c r="CG158" s="35"/>
      <c r="CH158" s="35"/>
      <c r="CI158" s="35"/>
      <c r="CJ158" s="35"/>
      <c r="CK158" s="35"/>
      <c r="CL158" s="35"/>
      <c r="CM158" s="35"/>
      <c r="CN158" s="35"/>
      <c r="CO158" s="35"/>
      <c r="CP158" s="35"/>
      <c r="CQ158" s="35"/>
      <c r="CR158" s="35"/>
      <c r="CS158" s="35"/>
      <c r="CT158" s="35"/>
      <c r="CU158" s="35"/>
      <c r="CV158" s="35"/>
      <c r="CW158" s="35"/>
      <c r="CX158" s="35"/>
      <c r="CY158" s="35"/>
      <c r="CZ158" s="35"/>
      <c r="DA158" s="35"/>
      <c r="DB158" s="35"/>
      <c r="DC158" s="35"/>
      <c r="DD158" s="35"/>
      <c r="DE158" s="35"/>
      <c r="DF158" s="35"/>
      <c r="DG158" s="35"/>
      <c r="DH158" s="35"/>
      <c r="DI158" s="35"/>
      <c r="DJ158" s="35"/>
      <c r="DK158" s="35"/>
      <c r="DL158" s="35"/>
      <c r="DM158" s="35"/>
      <c r="DN158" s="35"/>
      <c r="DO158" s="35"/>
      <c r="DP158" s="35"/>
      <c r="DQ158" s="35"/>
      <c r="DR158" s="35"/>
      <c r="DS158" s="35"/>
      <c r="DT158" s="35"/>
    </row>
    <row r="159" spans="1:124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F159" s="35"/>
      <c r="AG159" s="35"/>
      <c r="AH159" s="35"/>
      <c r="AI159" s="35"/>
      <c r="AJ159" s="35"/>
      <c r="AK159" s="35"/>
      <c r="AL159" s="35"/>
      <c r="AM159" s="35"/>
      <c r="AN159" s="35"/>
      <c r="AO159" s="35"/>
      <c r="AP159" s="35"/>
      <c r="AQ159" s="35"/>
      <c r="AR159" s="35"/>
      <c r="AS159" s="35"/>
      <c r="AT159" s="35"/>
      <c r="AU159" s="35"/>
      <c r="AV159" s="35"/>
      <c r="AW159" s="35"/>
      <c r="AX159" s="35"/>
      <c r="AY159" s="35"/>
      <c r="AZ159" s="35"/>
      <c r="BA159" s="35"/>
      <c r="BB159" s="35"/>
      <c r="BC159" s="35"/>
      <c r="BD159" s="35"/>
      <c r="BE159" s="35"/>
      <c r="BF159" s="35"/>
      <c r="BG159" s="35"/>
      <c r="BH159" s="35"/>
      <c r="BI159" s="35"/>
      <c r="BJ159" s="35"/>
      <c r="BK159" s="35"/>
      <c r="BL159" s="35"/>
      <c r="BM159" s="35"/>
      <c r="BN159" s="35"/>
      <c r="BO159" s="35"/>
      <c r="BP159" s="35"/>
      <c r="BQ159" s="35"/>
      <c r="BR159" s="35"/>
      <c r="BS159" s="35"/>
      <c r="BT159" s="35"/>
      <c r="BU159" s="35"/>
      <c r="BV159" s="35"/>
      <c r="BW159" s="35"/>
      <c r="BX159" s="35"/>
      <c r="BY159" s="35"/>
      <c r="BZ159" s="35"/>
      <c r="CA159" s="35"/>
      <c r="CB159" s="35"/>
      <c r="CC159" s="35"/>
      <c r="CD159" s="35"/>
      <c r="CE159" s="35"/>
      <c r="CF159" s="35"/>
      <c r="CG159" s="35"/>
      <c r="CH159" s="35"/>
      <c r="CI159" s="35"/>
      <c r="CJ159" s="35"/>
      <c r="CK159" s="35"/>
      <c r="CL159" s="35"/>
      <c r="CM159" s="35"/>
      <c r="CN159" s="35"/>
      <c r="CO159" s="35"/>
      <c r="CP159" s="35"/>
      <c r="CQ159" s="35"/>
      <c r="CR159" s="35"/>
      <c r="CS159" s="35"/>
      <c r="CT159" s="35"/>
      <c r="CU159" s="35"/>
      <c r="CV159" s="35"/>
      <c r="CW159" s="35"/>
      <c r="CX159" s="35"/>
      <c r="CY159" s="35"/>
      <c r="CZ159" s="35"/>
      <c r="DA159" s="35"/>
      <c r="DB159" s="35"/>
      <c r="DC159" s="35"/>
      <c r="DD159" s="35"/>
      <c r="DE159" s="35"/>
      <c r="DF159" s="35"/>
      <c r="DG159" s="35"/>
      <c r="DH159" s="35"/>
      <c r="DI159" s="35"/>
      <c r="DJ159" s="35"/>
      <c r="DK159" s="35"/>
      <c r="DL159" s="35"/>
      <c r="DM159" s="35"/>
      <c r="DN159" s="35"/>
      <c r="DO159" s="35"/>
      <c r="DP159" s="35"/>
      <c r="DQ159" s="35"/>
      <c r="DR159" s="35"/>
      <c r="DS159" s="35"/>
      <c r="DT159" s="35"/>
    </row>
    <row r="160" spans="1:124">
      <c r="A160" s="35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  <c r="AJ160" s="35"/>
      <c r="AK160" s="35"/>
      <c r="AL160" s="35"/>
      <c r="AM160" s="35"/>
      <c r="AN160" s="35"/>
      <c r="AO160" s="35"/>
      <c r="AP160" s="35"/>
      <c r="AQ160" s="35"/>
      <c r="AR160" s="35"/>
      <c r="AS160" s="35"/>
      <c r="AT160" s="35"/>
      <c r="AU160" s="35"/>
      <c r="AV160" s="35"/>
      <c r="AW160" s="35"/>
      <c r="AX160" s="35"/>
      <c r="AY160" s="35"/>
      <c r="AZ160" s="35"/>
      <c r="BA160" s="35"/>
      <c r="BB160" s="35"/>
      <c r="BC160" s="35"/>
      <c r="BD160" s="35"/>
      <c r="BE160" s="35"/>
      <c r="BF160" s="35"/>
      <c r="BG160" s="35"/>
      <c r="BH160" s="35"/>
      <c r="BI160" s="35"/>
      <c r="BJ160" s="35"/>
      <c r="BK160" s="35"/>
      <c r="BL160" s="35"/>
      <c r="BM160" s="35"/>
      <c r="BN160" s="35"/>
      <c r="BO160" s="35"/>
      <c r="BP160" s="35"/>
      <c r="BQ160" s="35"/>
      <c r="BR160" s="35"/>
      <c r="BS160" s="35"/>
      <c r="BT160" s="35"/>
      <c r="BU160" s="35"/>
      <c r="BV160" s="35"/>
      <c r="BW160" s="35"/>
      <c r="BX160" s="35"/>
      <c r="BY160" s="35"/>
      <c r="BZ160" s="35"/>
      <c r="CA160" s="35"/>
      <c r="CB160" s="35"/>
      <c r="CC160" s="35"/>
      <c r="CD160" s="35"/>
      <c r="CE160" s="35"/>
      <c r="CF160" s="35"/>
      <c r="CG160" s="35"/>
      <c r="CH160" s="35"/>
      <c r="CI160" s="35"/>
      <c r="CJ160" s="35"/>
      <c r="CK160" s="35"/>
      <c r="CL160" s="35"/>
      <c r="CM160" s="35"/>
      <c r="CN160" s="35"/>
      <c r="CO160" s="35"/>
      <c r="CP160" s="35"/>
      <c r="CQ160" s="35"/>
      <c r="CR160" s="35"/>
      <c r="CS160" s="35"/>
      <c r="CT160" s="35"/>
      <c r="CU160" s="35"/>
      <c r="CV160" s="35"/>
      <c r="CW160" s="35"/>
      <c r="CX160" s="35"/>
      <c r="CY160" s="35"/>
      <c r="CZ160" s="35"/>
      <c r="DA160" s="35"/>
      <c r="DB160" s="35"/>
      <c r="DC160" s="35"/>
      <c r="DD160" s="35"/>
      <c r="DE160" s="35"/>
      <c r="DF160" s="35"/>
      <c r="DG160" s="35"/>
      <c r="DH160" s="35"/>
      <c r="DI160" s="35"/>
      <c r="DJ160" s="35"/>
      <c r="DK160" s="35"/>
      <c r="DL160" s="35"/>
      <c r="DM160" s="35"/>
      <c r="DN160" s="35"/>
      <c r="DO160" s="35"/>
      <c r="DP160" s="35"/>
      <c r="DQ160" s="35"/>
      <c r="DR160" s="35"/>
      <c r="DS160" s="35"/>
      <c r="DT160" s="35"/>
    </row>
    <row r="161" spans="1:124">
      <c r="A161" s="35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  <c r="AJ161" s="35"/>
      <c r="AK161" s="35"/>
      <c r="AL161" s="35"/>
      <c r="AM161" s="35"/>
      <c r="AN161" s="35"/>
      <c r="AO161" s="35"/>
      <c r="AP161" s="35"/>
      <c r="AQ161" s="35"/>
      <c r="AR161" s="35"/>
      <c r="AS161" s="35"/>
      <c r="AT161" s="35"/>
      <c r="AU161" s="35"/>
      <c r="AV161" s="35"/>
      <c r="AW161" s="35"/>
      <c r="AX161" s="35"/>
      <c r="AY161" s="35"/>
      <c r="AZ161" s="35"/>
      <c r="BA161" s="35"/>
      <c r="BB161" s="35"/>
      <c r="BC161" s="35"/>
      <c r="BD161" s="35"/>
      <c r="BE161" s="35"/>
      <c r="BF161" s="35"/>
      <c r="BG161" s="35"/>
      <c r="BH161" s="35"/>
      <c r="BI161" s="35"/>
      <c r="BJ161" s="35"/>
      <c r="BK161" s="35"/>
      <c r="BL161" s="35"/>
      <c r="BM161" s="35"/>
      <c r="BN161" s="35"/>
      <c r="BO161" s="35"/>
      <c r="BP161" s="35"/>
      <c r="BQ161" s="35"/>
      <c r="BR161" s="35"/>
      <c r="BS161" s="35"/>
      <c r="BT161" s="35"/>
      <c r="BU161" s="35"/>
      <c r="BV161" s="35"/>
      <c r="BW161" s="35"/>
      <c r="BX161" s="35"/>
      <c r="BY161" s="35"/>
      <c r="BZ161" s="35"/>
      <c r="CA161" s="35"/>
      <c r="CB161" s="35"/>
      <c r="CC161" s="35"/>
      <c r="CD161" s="35"/>
      <c r="CE161" s="35"/>
      <c r="CF161" s="35"/>
      <c r="CG161" s="35"/>
      <c r="CH161" s="35"/>
      <c r="CI161" s="35"/>
      <c r="CJ161" s="35"/>
      <c r="CK161" s="35"/>
      <c r="CL161" s="35"/>
      <c r="CM161" s="35"/>
      <c r="CN161" s="35"/>
      <c r="CO161" s="35"/>
      <c r="CP161" s="35"/>
      <c r="CQ161" s="35"/>
      <c r="CR161" s="35"/>
      <c r="CS161" s="35"/>
      <c r="CT161" s="35"/>
      <c r="CU161" s="35"/>
      <c r="CV161" s="35"/>
      <c r="CW161" s="35"/>
      <c r="CX161" s="35"/>
      <c r="CY161" s="35"/>
      <c r="CZ161" s="35"/>
      <c r="DA161" s="35"/>
      <c r="DB161" s="35"/>
      <c r="DC161" s="35"/>
      <c r="DD161" s="35"/>
      <c r="DE161" s="35"/>
      <c r="DF161" s="35"/>
      <c r="DG161" s="35"/>
      <c r="DH161" s="35"/>
      <c r="DI161" s="35"/>
      <c r="DJ161" s="35"/>
      <c r="DK161" s="35"/>
      <c r="DL161" s="35"/>
      <c r="DM161" s="35"/>
      <c r="DN161" s="35"/>
      <c r="DO161" s="35"/>
      <c r="DP161" s="35"/>
      <c r="DQ161" s="35"/>
      <c r="DR161" s="35"/>
      <c r="DS161" s="35"/>
      <c r="DT161" s="35"/>
    </row>
    <row r="162" spans="1:124">
      <c r="A162" s="35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F162" s="35"/>
      <c r="AG162" s="35"/>
      <c r="AH162" s="35"/>
      <c r="AI162" s="35"/>
      <c r="AJ162" s="35"/>
      <c r="AK162" s="35"/>
      <c r="AL162" s="35"/>
      <c r="AM162" s="35"/>
      <c r="AN162" s="35"/>
      <c r="AO162" s="35"/>
      <c r="AP162" s="35"/>
      <c r="AQ162" s="35"/>
      <c r="AR162" s="35"/>
      <c r="AS162" s="35"/>
      <c r="AT162" s="35"/>
      <c r="AU162" s="35"/>
      <c r="AV162" s="35"/>
      <c r="AW162" s="35"/>
      <c r="AX162" s="35"/>
      <c r="AY162" s="35"/>
      <c r="AZ162" s="35"/>
      <c r="BA162" s="35"/>
      <c r="BB162" s="35"/>
      <c r="BC162" s="35"/>
      <c r="BD162" s="35"/>
      <c r="BE162" s="35"/>
      <c r="BF162" s="35"/>
      <c r="BG162" s="35"/>
      <c r="BH162" s="35"/>
      <c r="BI162" s="35"/>
      <c r="BJ162" s="35"/>
      <c r="BK162" s="35"/>
      <c r="BL162" s="35"/>
      <c r="BM162" s="35"/>
      <c r="BN162" s="35"/>
      <c r="BO162" s="35"/>
      <c r="BP162" s="35"/>
      <c r="BQ162" s="35"/>
      <c r="BR162" s="35"/>
      <c r="BS162" s="35"/>
      <c r="BT162" s="35"/>
      <c r="BU162" s="35"/>
      <c r="BV162" s="35"/>
      <c r="BW162" s="35"/>
      <c r="BX162" s="35"/>
      <c r="BY162" s="35"/>
      <c r="BZ162" s="35"/>
      <c r="CA162" s="35"/>
      <c r="CB162" s="35"/>
      <c r="CC162" s="35"/>
      <c r="CD162" s="35"/>
      <c r="CE162" s="35"/>
      <c r="CF162" s="35"/>
      <c r="CG162" s="35"/>
      <c r="CH162" s="35"/>
      <c r="CI162" s="35"/>
      <c r="CJ162" s="35"/>
      <c r="CK162" s="35"/>
      <c r="CL162" s="35"/>
      <c r="CM162" s="35"/>
      <c r="CN162" s="35"/>
      <c r="CO162" s="35"/>
      <c r="CP162" s="35"/>
      <c r="CQ162" s="35"/>
      <c r="CR162" s="35"/>
      <c r="CS162" s="35"/>
      <c r="CT162" s="35"/>
      <c r="CU162" s="35"/>
      <c r="CV162" s="35"/>
      <c r="CW162" s="35"/>
      <c r="CX162" s="35"/>
      <c r="CY162" s="35"/>
      <c r="CZ162" s="35"/>
      <c r="DA162" s="35"/>
      <c r="DB162" s="35"/>
      <c r="DC162" s="35"/>
      <c r="DD162" s="35"/>
      <c r="DE162" s="35"/>
      <c r="DF162" s="35"/>
      <c r="DG162" s="35"/>
      <c r="DH162" s="35"/>
      <c r="DI162" s="35"/>
      <c r="DJ162" s="35"/>
      <c r="DK162" s="35"/>
      <c r="DL162" s="35"/>
      <c r="DM162" s="35"/>
      <c r="DN162" s="35"/>
      <c r="DO162" s="35"/>
      <c r="DP162" s="35"/>
      <c r="DQ162" s="35"/>
      <c r="DR162" s="35"/>
      <c r="DS162" s="35"/>
      <c r="DT162" s="35"/>
    </row>
    <row r="163" spans="1:124">
      <c r="A163" s="35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F163" s="35"/>
      <c r="AG163" s="35"/>
      <c r="AH163" s="35"/>
      <c r="AI163" s="35"/>
      <c r="AJ163" s="35"/>
      <c r="AK163" s="35"/>
      <c r="AL163" s="35"/>
      <c r="AM163" s="35"/>
      <c r="AN163" s="35"/>
      <c r="AO163" s="35"/>
      <c r="AP163" s="35"/>
      <c r="AQ163" s="35"/>
      <c r="AR163" s="35"/>
      <c r="AS163" s="35"/>
      <c r="AT163" s="35"/>
      <c r="AU163" s="35"/>
      <c r="AV163" s="35"/>
      <c r="AW163" s="35"/>
      <c r="AX163" s="35"/>
      <c r="AY163" s="35"/>
      <c r="AZ163" s="35"/>
      <c r="BA163" s="35"/>
      <c r="BB163" s="35"/>
      <c r="BC163" s="35"/>
      <c r="BD163" s="35"/>
      <c r="BE163" s="35"/>
      <c r="BF163" s="35"/>
      <c r="BG163" s="35"/>
      <c r="BH163" s="35"/>
      <c r="BI163" s="35"/>
      <c r="BJ163" s="35"/>
      <c r="BK163" s="35"/>
      <c r="BL163" s="35"/>
      <c r="BM163" s="35"/>
      <c r="BN163" s="35"/>
      <c r="BO163" s="35"/>
      <c r="BP163" s="35"/>
      <c r="BQ163" s="35"/>
      <c r="BR163" s="35"/>
      <c r="BS163" s="35"/>
      <c r="BT163" s="35"/>
      <c r="BU163" s="35"/>
      <c r="BV163" s="35"/>
      <c r="BW163" s="35"/>
      <c r="BX163" s="35"/>
      <c r="BY163" s="35"/>
      <c r="BZ163" s="35"/>
      <c r="CA163" s="35"/>
      <c r="CB163" s="35"/>
      <c r="CC163" s="35"/>
      <c r="CD163" s="35"/>
      <c r="CE163" s="35"/>
      <c r="CF163" s="35"/>
      <c r="CG163" s="35"/>
      <c r="CH163" s="35"/>
      <c r="CI163" s="35"/>
      <c r="CJ163" s="35"/>
      <c r="CK163" s="35"/>
      <c r="CL163" s="35"/>
      <c r="CM163" s="35"/>
      <c r="CN163" s="35"/>
      <c r="CO163" s="35"/>
      <c r="CP163" s="35"/>
      <c r="CQ163" s="35"/>
      <c r="CR163" s="35"/>
      <c r="CS163" s="35"/>
      <c r="CT163" s="35"/>
      <c r="CU163" s="35"/>
      <c r="CV163" s="35"/>
      <c r="CW163" s="35"/>
      <c r="CX163" s="35"/>
      <c r="CY163" s="35"/>
      <c r="CZ163" s="35"/>
      <c r="DA163" s="35"/>
      <c r="DB163" s="35"/>
      <c r="DC163" s="35"/>
      <c r="DD163" s="35"/>
      <c r="DE163" s="35"/>
      <c r="DF163" s="35"/>
      <c r="DG163" s="35"/>
      <c r="DH163" s="35"/>
      <c r="DI163" s="35"/>
      <c r="DJ163" s="35"/>
      <c r="DK163" s="35"/>
      <c r="DL163" s="35"/>
      <c r="DM163" s="35"/>
      <c r="DN163" s="35"/>
      <c r="DO163" s="35"/>
      <c r="DP163" s="35"/>
      <c r="DQ163" s="35"/>
      <c r="DR163" s="35"/>
      <c r="DS163" s="35"/>
      <c r="DT163" s="35"/>
    </row>
    <row r="164" spans="1:124">
      <c r="A164" s="31"/>
      <c r="B164" s="32"/>
      <c r="C164" s="32" t="s">
        <v>482</v>
      </c>
      <c r="D164" s="32"/>
      <c r="E164" s="32"/>
      <c r="F164" s="32"/>
      <c r="G164" s="32"/>
      <c r="H164" s="32"/>
      <c r="I164" s="32"/>
      <c r="J164" s="32"/>
      <c r="K164" s="32"/>
      <c r="L164" s="32"/>
      <c r="M164" s="31"/>
      <c r="N164" s="32"/>
      <c r="O164" s="32"/>
      <c r="P164" s="32"/>
      <c r="Q164" s="32"/>
      <c r="R164" s="32"/>
      <c r="S164" s="35"/>
      <c r="T164" s="35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F164" s="35"/>
      <c r="AG164" s="35"/>
      <c r="AH164" s="35"/>
      <c r="AI164" s="35"/>
      <c r="AJ164" s="35"/>
      <c r="AK164" s="35"/>
      <c r="AL164" s="35"/>
      <c r="AM164" s="35"/>
      <c r="AN164" s="35"/>
      <c r="AO164" s="35"/>
      <c r="AP164" s="35"/>
      <c r="AQ164" s="35"/>
      <c r="AR164" s="35"/>
      <c r="AS164" s="35"/>
      <c r="AT164" s="35"/>
      <c r="AU164" s="35"/>
      <c r="AV164" s="35"/>
      <c r="AW164" s="35"/>
      <c r="AX164" s="35"/>
      <c r="AY164" s="35"/>
      <c r="AZ164" s="35"/>
      <c r="BA164" s="35"/>
      <c r="BB164" s="35"/>
      <c r="BC164" s="35"/>
      <c r="BD164" s="35"/>
      <c r="BE164" s="35"/>
      <c r="BF164" s="35"/>
      <c r="BG164" s="35"/>
      <c r="BH164" s="35"/>
      <c r="BI164" s="35"/>
      <c r="BJ164" s="35"/>
      <c r="BK164" s="35"/>
      <c r="BL164" s="35"/>
      <c r="BM164" s="35"/>
      <c r="BN164" s="35"/>
      <c r="BO164" s="35"/>
      <c r="BP164" s="35"/>
      <c r="BQ164" s="35"/>
      <c r="BR164" s="35"/>
      <c r="BS164" s="35"/>
      <c r="BT164" s="35"/>
      <c r="BU164" s="35"/>
      <c r="BV164" s="35"/>
      <c r="BW164" s="35"/>
      <c r="BX164" s="35"/>
      <c r="BY164" s="35"/>
      <c r="BZ164" s="35"/>
      <c r="CA164" s="35"/>
      <c r="CB164" s="35"/>
      <c r="CC164" s="35"/>
      <c r="CD164" s="35"/>
      <c r="CE164" s="35"/>
      <c r="CF164" s="35"/>
      <c r="CG164" s="35"/>
      <c r="CH164" s="35"/>
      <c r="CI164" s="35"/>
      <c r="CJ164" s="35"/>
      <c r="CK164" s="35"/>
      <c r="CL164" s="35"/>
      <c r="CM164" s="35"/>
      <c r="CN164" s="35"/>
      <c r="CO164" s="35"/>
      <c r="CP164" s="35"/>
      <c r="CQ164" s="35"/>
      <c r="CR164" s="35"/>
      <c r="CS164" s="35"/>
      <c r="CT164" s="35"/>
      <c r="CU164" s="35"/>
      <c r="CV164" s="35"/>
      <c r="CW164" s="35"/>
      <c r="CX164" s="35"/>
      <c r="CY164" s="35"/>
      <c r="CZ164" s="35"/>
      <c r="DA164" s="35"/>
      <c r="DB164" s="35"/>
      <c r="DC164" s="35"/>
      <c r="DD164" s="35"/>
      <c r="DE164" s="35"/>
      <c r="DF164" s="35"/>
      <c r="DG164" s="35"/>
      <c r="DH164" s="35"/>
      <c r="DI164" s="35"/>
      <c r="DJ164" s="35"/>
      <c r="DK164" s="35"/>
      <c r="DL164" s="35"/>
      <c r="DM164" s="35"/>
      <c r="DN164" s="35"/>
      <c r="DO164" s="35"/>
      <c r="DP164" s="35"/>
      <c r="DQ164" s="35"/>
      <c r="DR164" s="35"/>
      <c r="DS164" s="35"/>
      <c r="DT164" s="35"/>
    </row>
    <row r="165" spans="1:124">
      <c r="A165" s="80"/>
      <c r="B165" s="80"/>
      <c r="C165" s="80"/>
      <c r="D165" s="80"/>
      <c r="E165" s="80"/>
      <c r="F165" s="80"/>
      <c r="G165" s="80"/>
      <c r="H165" s="80"/>
      <c r="I165" s="80"/>
      <c r="J165" s="80"/>
      <c r="K165" s="80"/>
      <c r="L165" s="80"/>
      <c r="M165" s="80"/>
      <c r="N165" s="80"/>
      <c r="O165" s="80"/>
      <c r="P165" s="80"/>
      <c r="Q165" s="80"/>
      <c r="R165" s="80"/>
      <c r="S165" s="35"/>
      <c r="T165" s="35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F165" s="35"/>
      <c r="AG165" s="35"/>
      <c r="AH165" s="35"/>
      <c r="AI165" s="35"/>
      <c r="AJ165" s="35"/>
      <c r="AK165" s="35"/>
      <c r="AL165" s="35"/>
      <c r="AM165" s="35"/>
      <c r="AN165" s="35"/>
      <c r="AO165" s="35"/>
      <c r="AP165" s="35"/>
      <c r="AQ165" s="35"/>
      <c r="AR165" s="35"/>
      <c r="AS165" s="35"/>
      <c r="AT165" s="35"/>
      <c r="AU165" s="35"/>
      <c r="AV165" s="35"/>
      <c r="AW165" s="35"/>
      <c r="AX165" s="35"/>
      <c r="AY165" s="35"/>
      <c r="AZ165" s="35"/>
      <c r="BA165" s="35"/>
      <c r="BB165" s="35"/>
      <c r="BC165" s="35"/>
      <c r="BD165" s="35"/>
      <c r="BE165" s="35"/>
      <c r="BF165" s="35"/>
      <c r="BG165" s="35"/>
      <c r="BH165" s="35"/>
      <c r="BI165" s="35"/>
      <c r="BJ165" s="35"/>
      <c r="BK165" s="35"/>
      <c r="BL165" s="35"/>
      <c r="BM165" s="35"/>
      <c r="BN165" s="35"/>
      <c r="BO165" s="35"/>
      <c r="BP165" s="35"/>
      <c r="BQ165" s="35"/>
      <c r="BR165" s="35"/>
      <c r="BS165" s="35"/>
      <c r="BT165" s="35"/>
      <c r="BU165" s="35"/>
      <c r="BV165" s="35"/>
      <c r="BW165" s="35"/>
      <c r="BX165" s="35"/>
      <c r="BY165" s="35"/>
      <c r="BZ165" s="35"/>
      <c r="CA165" s="35"/>
      <c r="CB165" s="35"/>
      <c r="CC165" s="35"/>
      <c r="CD165" s="35"/>
      <c r="CE165" s="35"/>
      <c r="CF165" s="35"/>
      <c r="CG165" s="35"/>
      <c r="CH165" s="35"/>
      <c r="CI165" s="35"/>
      <c r="CJ165" s="35"/>
      <c r="CK165" s="35"/>
      <c r="CL165" s="35"/>
      <c r="CM165" s="35"/>
      <c r="CN165" s="35"/>
      <c r="CO165" s="35"/>
      <c r="CP165" s="35"/>
      <c r="CQ165" s="35"/>
      <c r="CR165" s="35"/>
      <c r="CS165" s="35"/>
      <c r="CT165" s="35"/>
      <c r="CU165" s="35"/>
      <c r="CV165" s="35"/>
      <c r="CW165" s="35"/>
      <c r="CX165" s="35"/>
      <c r="CY165" s="35"/>
      <c r="CZ165" s="35"/>
      <c r="DA165" s="35"/>
      <c r="DB165" s="35"/>
      <c r="DC165" s="35"/>
      <c r="DD165" s="35"/>
      <c r="DE165" s="35"/>
      <c r="DF165" s="35"/>
      <c r="DG165" s="35"/>
      <c r="DH165" s="35"/>
      <c r="DI165" s="35"/>
      <c r="DJ165" s="35"/>
      <c r="DK165" s="35"/>
      <c r="DL165" s="35"/>
      <c r="DM165" s="35"/>
      <c r="DN165" s="35"/>
      <c r="DO165" s="35"/>
      <c r="DP165" s="35"/>
      <c r="DQ165" s="35"/>
      <c r="DR165" s="35"/>
      <c r="DS165" s="35"/>
      <c r="DT165" s="35"/>
    </row>
  </sheetData>
  <mergeCells count="1">
    <mergeCell ref="I5:K5"/>
  </mergeCells>
  <phoneticPr fontId="19" type="noConversion"/>
  <hyperlinks>
    <hyperlink ref="I5" r:id="rId1"/>
  </hyperlinks>
  <pageMargins left="2.3618055555555557" right="0.25" top="3.1486111111111112" bottom="0.5854166666666667" header="0.5" footer="0.5"/>
  <pageSetup orientation="portrait" horizontalDpi="180" verticalDpi="18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11</vt:i4>
      </vt:variant>
    </vt:vector>
  </HeadingPairs>
  <TitlesOfParts>
    <vt:vector size="12" baseType="lpstr">
      <vt:lpstr>4metatar</vt:lpstr>
      <vt:lpstr>ANSWERS</vt:lpstr>
      <vt:lpstr>HEADER</vt:lpstr>
      <vt:lpstr>HELP_FILE</vt:lpstr>
      <vt:lpstr>KNOWLEDGE_BASE</vt:lpstr>
      <vt:lpstr>LOGO</vt:lpstr>
      <vt:lpstr>PARAMETERS</vt:lpstr>
      <vt:lpstr>'4metatar'!Print_Area</vt:lpstr>
      <vt:lpstr>RAW_DATA</vt:lpstr>
      <vt:lpstr>RW_CALC</vt:lpstr>
      <vt:lpstr>TITLE</vt:lpstr>
      <vt:lpstr>WEASEL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</dc:creator>
  <cp:lastModifiedBy>ross</cp:lastModifiedBy>
  <cp:lastPrinted>2018-10-01T18:08:15Z</cp:lastPrinted>
  <dcterms:created xsi:type="dcterms:W3CDTF">2018-09-28T21:39:02Z</dcterms:created>
  <dcterms:modified xsi:type="dcterms:W3CDTF">2018-10-01T18:08:34Z</dcterms:modified>
</cp:coreProperties>
</file>